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Type="http://schemas.openxmlformats.org/officeDocument/2006/relationships/officeDocument" Target="/xl/workbook.xml" Id="R19666009dc7c440d"/><Relationship Id="rIdFinDataCore" Type="http://schemas.openxmlformats.org/package/2006/relationships/metadata/core-properties" Target="docProps/core.xml"/><Relationship Id="rIdFinDataApp" Type="http://schemas.openxmlformats.org/officeDocument/2006/relationships/extended-properties" Target="docProps/app.xml"/><Relationship Id="rIdFinDataCustom" Type="http://schemas.openxmlformats.org/officeDocument/2006/relationships/custom-properties" Target="docProps/custom.xml"/></Relationships>
</file>

<file path=xl/workbook.xml><?xml version="1.0" encoding="utf-8"?>
<x:workbook xmlns:x="http://schemas.openxmlformats.org/spreadsheetml/2006/main">
  <x:sheets>
    <x:sheet xmlns:r="http://schemas.openxmlformats.org/officeDocument/2006/relationships" name="Deal brief" sheetId="1" r:id="R7da027b4325c447f"/>
    <x:sheet xmlns:r="http://schemas.openxmlformats.org/officeDocument/2006/relationships" name="Inputs" sheetId="2" r:id="R615a89bd2b6f4b9f"/>
    <x:sheet xmlns:r="http://schemas.openxmlformats.org/officeDocument/2006/relationships" name="Development" sheetId="3" r:id="Rc68fa4bc36c840da"/>
    <x:sheet xmlns:r="http://schemas.openxmlformats.org/officeDocument/2006/relationships" name="Debt sizing" sheetId="4" r:id="Rd67fe282b3694be2"/>
    <x:sheet xmlns:r="http://schemas.openxmlformats.org/officeDocument/2006/relationships" name="Sensitivities" sheetId="5" r:id="Rbdf718b608904b20"/>
    <x:sheet xmlns:r="http://schemas.openxmlformats.org/officeDocument/2006/relationships" name="Diligence" sheetId="6" r:id="R75b7ee7d83574c4b"/>
    <x:sheet xmlns:r="http://schemas.openxmlformats.org/officeDocument/2006/relationships" name="Guide &amp; sources" sheetId="7" r:id="Rdf36cf5527fa4f68"/>
    <x:sheet xmlns:r="http://schemas.openxmlformats.org/officeDocument/2006/relationships" name="Model controls" sheetId="8" r:id="R7a6fe848dbfa491f"/>
  </x:sheets>
  <x:definedNames>
    <x:definedName name="CRE_Zero">'Model controls'!$D$8</x:definedName>
    <x:definedName name="CRE_One">'Model controls'!$D$9</x:definedName>
    <x:definedName name="CRE_MonthsPerYear">'Model controls'!$D$10</x:definedName>
    <x:definedName name="CRE_BpsPerUnit">'Model controls'!$D$11</x:definedName>
    <x:definedName name="CRE_DebtTieTolerance">'Model controls'!$D$12</x:definedName>
    <x:definedName name="CRE_Offset0">'Model controls'!$C$16</x:definedName>
    <x:definedName name="CRE_Offset1">'Model controls'!$D$16</x:definedName>
    <x:definedName name="CRE_Offset2">'Model controls'!$E$16</x:definedName>
    <x:definedName name="CRE_Offset3">'Model controls'!$F$16</x:definedName>
    <x:definedName name="CRE_Offset4">'Model controls'!$G$16</x:definedName>
    <x:definedName name="CRE_Input8_Min">'Model controls'!$D$20</x:definedName>
    <x:definedName name="CRE_Input9_Min">'Model controls'!$D$21</x:definedName>
    <x:definedName name="CRE_Input10_Min">'Model controls'!$D$22</x:definedName>
    <x:definedName name="CRE_Input11_Min">'Model controls'!$D$23</x:definedName>
    <x:definedName name="CRE_Input12_Min">'Model controls'!$D$24</x:definedName>
    <x:definedName name="CRE_Input15_Min">'Model controls'!$D$25</x:definedName>
    <x:definedName name="CRE_Input16_Min">'Model controls'!$D$26</x:definedName>
    <x:definedName name="CRE_Input16_Max">'Model controls'!$E$26</x:definedName>
    <x:definedName name="CRE_Input17_Min">'Model controls'!$D$27</x:definedName>
    <x:definedName name="CRE_Input18_Min">'Model controls'!$D$28</x:definedName>
    <x:definedName name="CRE_Input19_Min">'Model controls'!$D$29</x:definedName>
    <x:definedName name="CRE_Input20_Min">'Model controls'!$D$30</x:definedName>
    <x:definedName name="CRE_Input20_Max">'Model controls'!$E$30</x:definedName>
    <x:definedName name="CRE_Input21_Min">'Model controls'!$D$31</x:definedName>
    <x:definedName name="CRE_Input24_Min">'Model controls'!$D$32</x:definedName>
    <x:definedName name="CRE_Input25_Min">'Model controls'!$D$33</x:definedName>
    <x:definedName name="CRE_Input26_Min">'Model controls'!$D$34</x:definedName>
    <x:definedName name="CRE_Input27_Min">'Model controls'!$D$35</x:definedName>
    <x:definedName name="CRE_Input28_Min">'Model controls'!$D$36</x:definedName>
    <x:definedName name="CRE_Input29_Min">'Model controls'!$D$37</x:definedName>
    <x:definedName name="CRE_Input30_Min">'Model controls'!$D$38</x:definedName>
    <x:definedName name="CRE_Input31_Min">'Model controls'!$D$39</x:definedName>
    <x:definedName name="CRE_Input32_Min">'Model controls'!$D$40</x:definedName>
    <x:definedName name="CRE_Input33_Min">'Model controls'!$D$41</x:definedName>
    <x:definedName name="CRE_Input36_Min">'Model controls'!$D$42</x:definedName>
    <x:definedName name="CRE_Input37_Min">'Model controls'!$D$43</x:definedName>
    <x:definedName name="CRE_Input37_Max">'Model controls'!$E$43</x:definedName>
    <x:definedName name="CRE_Input38_Min">'Model controls'!$D$44</x:definedName>
    <x:definedName name="CRE_Input39_Min">'Model controls'!$D$45</x:definedName>
    <x:definedName name="CRE_Input42_Min">'Model controls'!$D$46</x:definedName>
    <x:definedName name="CRE_Input43_Min">'Model controls'!$D$47</x:definedName>
    <x:definedName name="CRE_Input44_Min">'Model controls'!$D$48</x:definedName>
    <x:definedName name="CRE_Input45_Min">'Model controls'!$D$49</x:definedName>
    <x:definedName name="CRE_Input45_Max">'Model controls'!$E$49</x:definedName>
    <x:definedName name="CRE_Input46_Min">'Model controls'!$D$50</x:definedName>
    <x:definedName name="CRE_Input47_Min">'Model controls'!$D$51</x:definedName>
    <x:definedName name="CRE_Input48_Min">'Model controls'!$D$52</x:definedName>
    <x:definedName name="CRE_Input48_Max">'Model controls'!$E$52</x:definedName>
    <x:definedName name="CRE_Input51_Min">'Model controls'!$D$53</x:definedName>
    <x:definedName name="CRE_Input52_Min">'Model controls'!$D$54</x:definedName>
    <x:definedName name="CRE_Input53_Min">'Model controls'!$D$55</x:definedName>
    <x:definedName name="CRE_Input56_Min">'Model controls'!$D$56</x:definedName>
    <x:definedName name="CRE_Input57_Min">'Model controls'!$D$57</x:definedName>
    <x:definedName name="CRE_Input58_Min">'Model controls'!$D$58</x:definedName>
    <x:definedName name="_xlnm.Print_Area" localSheetId="0">'Deal brief'!$C$1:$G$38</x:definedName>
    <x:definedName name="_xlnm.Print_Area" localSheetId="1">'Inputs'!$C$1:$G$61</x:definedName>
    <x:definedName name="_xlnm.Print_Titles" localSheetId="1">'Inputs'!$1:$6</x:definedName>
    <x:definedName name="_xlnm.Print_Area" localSheetId="2">'Development'!$C$1:$G$65</x:definedName>
    <x:definedName name="_xlnm.Print_Titles" localSheetId="2">'Development'!$1:$6</x:definedName>
    <x:definedName name="_xlnm.Print_Area" localSheetId="3">'Debt sizing'!$C$1:$G$42</x:definedName>
    <x:definedName name="_xlnm.Print_Titles" localSheetId="3">'Debt sizing'!$1:$6</x:definedName>
    <x:definedName name="_xlnm.Print_Area" localSheetId="4">'Sensitivities'!$C$1:$J$39</x:definedName>
    <x:definedName name="_xlnm.Print_Titles" localSheetId="4">'Sensitivities'!$1:$6</x:definedName>
    <x:definedName name="_xlnm.Print_Area" localSheetId="5">'Diligence'!$C$1:$G$27</x:definedName>
    <x:definedName name="_xlnm.Print_Titles" localSheetId="5">'Diligence'!$1:$9</x:definedName>
    <x:definedName name="_xlnm.Print_Area" localSheetId="6">'Guide &amp; sources'!$C$1:$G$49</x:definedName>
    <x:definedName name="_xlnm.Print_Titles" localSheetId="6">'Guide &amp; sources'!$1:$6</x:definedName>
    <x:definedName name="_xlnm.Print_Area" localSheetId="7">'Model controls'!$C$1:$G$70</x:definedName>
    <x:definedName name="_xlnm.Print_Titles" localSheetId="7">'Model controls'!$1:$6</x:definedName>
  </x:definedNames>
  <x:calcPr calcMode="auto" fullCalcOnLoad="1" forceFullCalc="1"/>
</x:workbook>
</file>

<file path=xl/sharedStrings.xml><?xml version="1.0" encoding="utf-8"?>
<x:sst xmlns:x="http://schemas.openxmlformats.org/spreadsheetml/2006/main"/>
</file>

<file path=xl/styles.xml><?xml version="1.0" encoding="utf-8"?>
<x:styleSheet xmlns:x="http://schemas.openxmlformats.org/spreadsheetml/2006/main">
  <x:numFmts count="13">
    <x:numFmt numFmtId="200" formatCode="0"/>
    <x:numFmt numFmtId="201" formatCode="#,##0"/>
    <x:numFmt numFmtId="202" formatCode="$0.00"/>
    <x:numFmt numFmtId="203" formatCode="#,##0.00"/>
    <x:numFmt numFmtId="204" formatCode="#,##0;(#,##0);&quot;–&quot;"/>
    <x:numFmt numFmtId="205" formatCode="General"/>
    <x:numFmt numFmtId="206" formatCode="0.00"/>
    <x:numFmt numFmtId="207" formatCode="$#,##0;($#,##0);&quot;–&quot;"/>
    <x:numFmt numFmtId="208" formatCode="0.00%"/>
    <x:numFmt numFmtId="209" formatCode="0.00%;(0.00%);&quot;–&quot;"/>
    <x:numFmt numFmtId="210" formatCode="$#,##0.00;($#,##0.00);&quot;–&quot;"/>
    <x:numFmt numFmtId="211" formatCode="0.00&quot;x&quot;"/>
    <x:numFmt numFmtId="212" formatCode="0&quot; bps&quot;"/>
  </x:numFmts>
  <x:fonts count="27">
    <x:font>
      <x:sz val="11"/>
      <x:name val="Carlito"/>
    </x:font>
    <x:font>
      <x:sz val="11"/>
      <x:color rgb="FF0F172A"/>
      <x:name val="Arial"/>
    </x:font>
    <x:font>
      <x:sz val="18"/>
      <x:color rgb="FF1E1B4B"/>
      <x:name val="Arial"/>
    </x:font>
    <x:font>
      <x:sz val="11"/>
      <x:color rgb="FF475569"/>
      <x:name val="Arial"/>
    </x:font>
    <x:font>
      <x:sz val="19"/>
      <x:color rgb="FF1E1B4B"/>
      <x:name val="Arial"/>
    </x:font>
    <x:font>
      <x:sz val="11"/>
      <x:color rgb="FFFFFFFF"/>
      <x:name val="Arial"/>
    </x:font>
    <x:font>
      <x:b/>
      <x:sz val="11"/>
      <x:color rgb="FFFFFFFF"/>
      <x:name val="Arial"/>
    </x:font>
    <x:font>
      <x:b/>
      <x:sz val="11"/>
      <x:color rgb="FF1E1B4B"/>
      <x:name val="Arial"/>
    </x:font>
    <x:font>
      <x:sz val="10"/>
      <x:color rgb="FF475569"/>
      <x:name val="Arial"/>
    </x:font>
    <x:font>
      <x:sz val="11"/>
      <x:color rgb="FF0000FF"/>
      <x:name val="Arial"/>
    </x:font>
    <x:font>
      <x:sz val="11"/>
      <x:color rgb="FF008000"/>
      <x:name val="Arial"/>
    </x:font>
    <x:font>
      <x:i/>
      <x:sz val="11"/>
      <x:color rgb="FF0F172A"/>
      <x:name val="Arial"/>
    </x:font>
    <x:font>
      <x:i/>
      <x:sz val="11"/>
      <x:color rgb="FF0000FF"/>
      <x:name val="Arial"/>
    </x:font>
    <x:font>
      <x:sz val="11"/>
      <x:color rgb="FF1E1B4B"/>
      <x:name val="Arial"/>
    </x:font>
    <x:font>
      <x:sz val="11"/>
      <x:color rgb="FF000000"/>
      <x:name val="Arial"/>
    </x:font>
    <x:font>
      <x:b/>
      <x:sz val="11"/>
      <x:color rgb="FF0F172A"/>
      <x:name val="Arial"/>
    </x:font>
    <x:font>
      <x:b/>
      <x:sz val="11"/>
      <x:color rgb="FF000000"/>
      <x:name val="Arial"/>
    </x:font>
    <x:font>
      <x:b/>
      <x:sz val="11"/>
      <x:color rgb="FF008000"/>
      <x:name val="Arial"/>
    </x:font>
    <x:font>
      <x:sz val="10"/>
      <x:color rgb="FF1D4ED8"/>
      <x:name val="Arial"/>
    </x:font>
    <x:font>
      <x:sz val="17"/>
      <x:color rgb="FF1E1B4B"/>
      <x:name val="Arial"/>
    </x:font>
    <x:font>
      <x:sz val="12"/>
      <x:color rgb="FF1E1B4B"/>
      <x:name val="Arial"/>
    </x:font>
    <x:font>
      <x:sz val="12"/>
      <x:color rgb="FF008000"/>
      <x:name val="Arial"/>
    </x:font>
    <x:font>
      <x:sz val="25"/>
      <x:color rgb="FF1E1B4B"/>
      <x:name val="Arial"/>
    </x:font>
    <x:font>
      <x:sz val="25"/>
      <x:color rgb="FF008000"/>
      <x:name val="Arial"/>
    </x:font>
    <x:font>
      <x:b/>
      <x:sz val="25"/>
      <x:color rgb="FF1E1B4B"/>
      <x:name val="Arial"/>
    </x:font>
    <x:font>
      <x:sz val="11"/>
      <x:color rgb="FF1D4ED8"/>
      <x:name val="Arial"/>
    </x:font>
    <x:font>
      <x:sz val="10"/>
      <x:color rgb="FF1E1B4B"/>
      <x:name val="Arial"/>
    </x:font>
  </x:fonts>
  <x:fills count="7">
    <x:fill>
      <x:patternFill patternType="none"/>
    </x:fill>
    <x:fill>
      <x:patternFill patternType="gray125"/>
    </x:fill>
    <x:fill>
      <x:patternFill patternType="solid">
        <x:fgColor rgb="FFFFFFFF"/>
      </x:patternFill>
    </x:fill>
    <x:fill>
      <x:patternFill patternType="solid">
        <x:fgColor rgb="FF1E1B4B"/>
      </x:patternFill>
    </x:fill>
    <x:fill>
      <x:patternFill patternType="solid">
        <x:fgColor rgb="FFF1F5F9"/>
      </x:patternFill>
    </x:fill>
    <x:fill>
      <x:patternFill patternType="solid">
        <x:fgColor rgb="FFE2E8F0"/>
      </x:patternFill>
    </x:fill>
    <x:fill>
      <x:patternFill patternType="solid">
        <x:fgColor rgb="FFFFF3CC"/>
      </x:patternFill>
    </x:fill>
  </x:fills>
  <x:borders count="4">
    <x:border/>
    <x:border>
      <x:bottom style="medium">
        <x:color rgb="FF1D4ED8"/>
      </x:bottom>
    </x:border>
    <x:border>
      <x:top style="thin">
        <x:color rgb="FFCBD5E1"/>
      </x:top>
    </x:border>
    <x:border>
      <x:left style="medium">
        <x:color rgb="FF1D4ED8"/>
      </x:left>
      <x:right style="medium">
        <x:color rgb="FF1D4ED8"/>
      </x:right>
      <x:top style="medium">
        <x:color rgb="FF1D4ED8"/>
      </x:top>
      <x:bottom style="medium">
        <x:color rgb="FF1D4ED8"/>
      </x:bottom>
    </x:border>
  </x:borders>
  <x:cellStyleXfs count="1">
    <x:xf numFmtId="0" fontId="0" fillId="0" borderId="0"/>
  </x:cellStyleXfs>
  <x:cellXfs count="12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5" fillId="2"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200" fontId="1" fillId="2"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xf numFmtId="201" fontId="1" fillId="2" borderId="0" xfId="0" applyNumberFormat="1" applyFont="1" applyFill="1" applyBorder="1" applyAlignment="1">
      <x:alignment vertical="center" wrapText="1"/>
    </x:xf>
    <x:xf numFmtId="201" fontId="1" fillId="4" borderId="0" xfId="0" applyNumberFormat="1" applyFont="1" applyFill="1" applyBorder="1" applyAlignment="1">
      <x:alignment vertical="center" wrapText="1"/>
    </x:xf>
    <x:xf numFmtId="202" fontId="1" fillId="2" borderId="0" xfId="0" applyNumberFormat="1" applyFont="1" applyFill="1" applyBorder="1" applyAlignment="1">
      <x:alignment vertical="center" wrapText="1"/>
    </x:xf>
    <x:xf numFmtId="202" fontId="1" fillId="4"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8" fillId="2" borderId="0"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9" fillId="6" borderId="0" xfId="0" applyNumberFormat="1" applyFont="1" applyFill="1" applyBorder="1" applyAlignment="1">
      <x:alignment vertical="center" wrapText="1"/>
    </x:xf>
    <x:xf numFmtId="0" fontId="9" fillId="6" borderId="0" xfId="0" applyNumberFormat="1" applyFont="1" applyFill="1" applyBorder="1" applyAlignment="1">
      <x:alignment horizontal="right" vertical="center" wrapText="1"/>
    </x:xf>
    <x:xf numFmtId="203" fontId="9" fillId="6" borderId="0" xfId="0" applyNumberFormat="1" applyFont="1" applyFill="1" applyBorder="1" applyAlignment="1">
      <x:alignment horizontal="right" vertical="center" wrapText="1"/>
    </x:xf>
    <x:xf numFmtId="203" fontId="9" fillId="4" borderId="0" xfId="0" applyNumberFormat="1" applyFont="1" applyFill="1" applyBorder="1" applyAlignment="1">
      <x:alignment horizontal="right" vertical="center" wrapText="1"/>
    </x:xf>
    <x:xf numFmtId="203" fontId="3" fillId="4" borderId="0" xfId="0" applyNumberFormat="1" applyFont="1" applyFill="1" applyBorder="1" applyAlignment="1">
      <x:alignment horizontal="right" vertical="center" wrapText="1"/>
    </x:xf>
    <x:xf numFmtId="204" fontId="1" fillId="2" borderId="0" xfId="0" applyNumberFormat="1" applyFont="1" applyFill="1" applyBorder="1" applyAlignment="1">
      <x:alignment vertical="center" wrapText="1"/>
    </x:xf>
    <x:xf numFmtId="204" fontId="1" fillId="6" borderId="0" xfId="0" applyNumberFormat="1" applyFont="1" applyFill="1" applyBorder="1" applyAlignment="1">
      <x:alignment vertical="center" wrapText="1"/>
    </x:xf>
    <x:xf numFmtId="204" fontId="9" fillId="6" borderId="0" xfId="0" applyNumberFormat="1" applyFont="1" applyFill="1" applyBorder="1" applyAlignment="1">
      <x:alignment vertical="center" wrapText="1"/>
    </x:xf>
    <x:xf numFmtId="204" fontId="9" fillId="6" borderId="0" xfId="0" applyNumberFormat="1" applyFont="1" applyFill="1" applyBorder="1" applyAlignment="1">
      <x:alignment horizontal="right" vertical="center" wrapText="1"/>
    </x:xf>
    <x:xf numFmtId="205" fontId="1" fillId="2" borderId="0" xfId="0" applyNumberFormat="1" applyFont="1" applyFill="1" applyBorder="1" applyAlignment="1">
      <x:alignment vertical="center" wrapText="1"/>
    </x:xf>
    <x:xf numFmtId="205" fontId="10" fillId="2" borderId="0" xfId="0" applyNumberFormat="1" applyFont="1" applyFill="1" applyBorder="1" applyAlignment="1">
      <x:alignment vertical="center" wrapText="1"/>
    </x:xf>
    <x:xf numFmtId="206" fontId="1" fillId="2" borderId="0" xfId="0" applyNumberFormat="1" applyFont="1" applyFill="1" applyBorder="1" applyAlignment="1">
      <x:alignment vertical="center" wrapText="1"/>
    </x:xf>
    <x:xf numFmtId="206" fontId="1" fillId="6" borderId="0" xfId="0" applyNumberFormat="1" applyFont="1" applyFill="1" applyBorder="1" applyAlignment="1">
      <x:alignment vertical="center" wrapText="1"/>
    </x:xf>
    <x:xf numFmtId="206" fontId="9" fillId="6" borderId="0" xfId="0" applyNumberFormat="1" applyFont="1" applyFill="1" applyBorder="1" applyAlignment="1">
      <x:alignment vertical="center" wrapText="1"/>
    </x:xf>
    <x:xf numFmtId="206" fontId="9" fillId="6" borderId="0" xfId="0" applyNumberFormat="1" applyFont="1" applyFill="1" applyBorder="1" applyAlignment="1">
      <x:alignment horizontal="right" vertical="center" wrapText="1"/>
    </x:xf>
    <x:xf numFmtId="207" fontId="1" fillId="2" borderId="0" xfId="0" applyNumberFormat="1" applyFont="1" applyFill="1" applyBorder="1" applyAlignment="1">
      <x:alignment vertical="center" wrapText="1"/>
    </x:xf>
    <x:xf numFmtId="207" fontId="1" fillId="6" borderId="0" xfId="0" applyNumberFormat="1" applyFont="1" applyFill="1" applyBorder="1" applyAlignment="1">
      <x:alignment vertical="center" wrapText="1"/>
    </x:xf>
    <x:xf numFmtId="207" fontId="9" fillId="6" borderId="0" xfId="0" applyNumberFormat="1" applyFont="1" applyFill="1" applyBorder="1" applyAlignment="1">
      <x:alignment vertical="center" wrapText="1"/>
    </x:xf>
    <x:xf numFmtId="207" fontId="9" fillId="6" borderId="0" xfId="0" applyNumberFormat="1" applyFont="1" applyFill="1" applyBorder="1" applyAlignment="1">
      <x:alignment horizontal="right" vertical="center" wrapText="1"/>
    </x:xf>
    <x:xf numFmtId="208" fontId="9" fillId="6" borderId="0" xfId="0" applyNumberFormat="1" applyFont="1" applyFill="1" applyBorder="1" applyAlignment="1">
      <x:alignment horizontal="right" vertical="center" wrapText="1"/>
    </x:xf>
    <x:xf numFmtId="208" fontId="9" fillId="4" borderId="0" xfId="0" applyNumberFormat="1" applyFont="1" applyFill="1" applyBorder="1" applyAlignment="1">
      <x:alignment horizontal="right" vertical="center" wrapText="1"/>
    </x:xf>
    <x:xf numFmtId="208" fontId="3" fillId="4" borderId="0" xfId="0" applyNumberFormat="1" applyFont="1" applyFill="1" applyBorder="1" applyAlignment="1">
      <x:alignment horizontal="right" vertical="center" wrapText="1"/>
    </x:xf>
    <x:xf numFmtId="209" fontId="1" fillId="2" borderId="0" xfId="0" applyNumberFormat="1" applyFont="1" applyFill="1" applyBorder="1" applyAlignment="1">
      <x:alignment vertical="center" wrapText="1"/>
    </x:xf>
    <x:xf numFmtId="209" fontId="1" fillId="6" borderId="0" xfId="0" applyNumberFormat="1" applyFont="1" applyFill="1" applyBorder="1" applyAlignment="1">
      <x:alignment vertical="center" wrapText="1"/>
    </x:xf>
    <x:xf numFmtId="209" fontId="9" fillId="6" borderId="0" xfId="0" applyNumberFormat="1" applyFont="1" applyFill="1" applyBorder="1" applyAlignment="1">
      <x:alignment vertical="center" wrapText="1"/>
    </x:xf>
    <x:xf numFmtId="209" fontId="9" fillId="6" borderId="0" xfId="0" applyNumberFormat="1" applyFont="1" applyFill="1" applyBorder="1" applyAlignment="1">
      <x:alignment horizontal="right" vertical="center" wrapText="1"/>
    </x:xf>
    <x:xf numFmtId="0" fontId="11" fillId="2" borderId="0" xfId="0" applyNumberFormat="1" applyFont="1" applyFill="1" applyBorder="1" applyAlignment="1">
      <x:alignment vertical="center" wrapText="1"/>
    </x:xf>
    <x:xf numFmtId="209" fontId="12" fillId="6" borderId="0" xfId="0" applyNumberFormat="1" applyFont="1" applyFill="1" applyBorder="1" applyAlignment="1">
      <x:alignment horizontal="right" vertical="center" wrapText="1"/>
    </x:xf>
    <x:xf numFmtId="210" fontId="1" fillId="2" borderId="0" xfId="0" applyNumberFormat="1" applyFont="1" applyFill="1" applyBorder="1" applyAlignment="1">
      <x:alignment vertical="center" wrapText="1"/>
    </x:xf>
    <x:xf numFmtId="210" fontId="1" fillId="6" borderId="0" xfId="0" applyNumberFormat="1" applyFont="1" applyFill="1" applyBorder="1" applyAlignment="1">
      <x:alignment vertical="center" wrapText="1"/>
    </x:xf>
    <x:xf numFmtId="210" fontId="9" fillId="6" borderId="0" xfId="0" applyNumberFormat="1" applyFont="1" applyFill="1" applyBorder="1" applyAlignment="1">
      <x:alignment vertical="center" wrapText="1"/>
    </x:xf>
    <x:xf numFmtId="210" fontId="9" fillId="6" borderId="0" xfId="0" applyNumberFormat="1" applyFont="1" applyFill="1" applyBorder="1" applyAlignment="1">
      <x:alignment horizontal="right" vertical="center" wrapText="1"/>
    </x:xf>
    <x:xf numFmtId="211" fontId="1" fillId="2" borderId="0" xfId="0" applyNumberFormat="1" applyFont="1" applyFill="1" applyBorder="1" applyAlignment="1">
      <x:alignment vertical="center" wrapText="1"/>
    </x:xf>
    <x:xf numFmtId="211" fontId="1" fillId="6" borderId="0" xfId="0" applyNumberFormat="1" applyFont="1" applyFill="1" applyBorder="1" applyAlignment="1">
      <x:alignment vertical="center" wrapText="1"/>
    </x:xf>
    <x:xf numFmtId="211" fontId="9" fillId="6" borderId="0" xfId="0" applyNumberFormat="1" applyFont="1" applyFill="1" applyBorder="1" applyAlignment="1">
      <x:alignment vertical="center" wrapText="1"/>
    </x:xf>
    <x:xf numFmtId="211" fontId="9" fillId="6" borderId="0" xfId="0" applyNumberFormat="1" applyFont="1" applyFill="1" applyBorder="1" applyAlignment="1">
      <x:alignment horizontal="right" vertical="center" wrapText="1"/>
    </x:xf>
    <x:xf numFmtId="0" fontId="13"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207" fontId="10" fillId="2" borderId="0" xfId="0" applyNumberFormat="1" applyFont="1" applyFill="1" applyBorder="1" applyAlignment="1">
      <x:alignment vertical="center" wrapText="1"/>
    </x:xf>
    <x:xf numFmtId="207" fontId="10" fillId="2" borderId="0" xfId="0" applyNumberFormat="1" applyFont="1" applyFill="1" applyBorder="1" applyAlignment="1">
      <x:alignment horizontal="right" vertical="center" wrapText="1"/>
    </x:xf>
    <x:xf numFmtId="207" fontId="14" fillId="2" borderId="0" xfId="0" applyNumberFormat="1" applyFont="1" applyFill="1" applyBorder="1" applyAlignment="1">
      <x:alignment vertical="center" wrapText="1"/>
    </x:xf>
    <x:xf numFmtId="207" fontId="14" fillId="2" borderId="0" xfId="0" applyNumberFormat="1" applyFont="1" applyFill="1" applyBorder="1" applyAlignment="1">
      <x:alignment horizontal="right" vertical="center" wrapText="1"/>
    </x:xf>
    <x:xf numFmtId="207" fontId="14" fillId="4" borderId="0" xfId="0" applyNumberFormat="1" applyFont="1" applyFill="1" applyBorder="1" applyAlignment="1">
      <x:alignment horizontal="right" vertical="center" wrapText="1"/>
    </x:xf>
    <x:xf numFmtId="0" fontId="15" fillId="4" borderId="0" xfId="0" applyNumberFormat="1" applyFont="1" applyFill="1" applyBorder="1" applyAlignment="1">
      <x:alignment vertical="center" wrapText="1"/>
    </x:xf>
    <x:xf numFmtId="207" fontId="16" fillId="4" borderId="0" xfId="0" applyNumberFormat="1" applyFont="1" applyFill="1" applyBorder="1" applyAlignment="1">
      <x:alignment horizontal="right" vertical="center" wrapText="1"/>
    </x:xf>
    <x:xf numFmtId="0" fontId="15" fillId="4" borderId="2" xfId="0" applyNumberFormat="1" applyFont="1" applyFill="1" applyBorder="1" applyAlignment="1">
      <x:alignment vertical="center" wrapText="1"/>
    </x:xf>
    <x:xf numFmtId="207" fontId="16" fillId="4" borderId="2" xfId="0" applyNumberFormat="1" applyFont="1" applyFill="1" applyBorder="1" applyAlignment="1">
      <x:alignment horizontal="right" vertical="center" wrapText="1"/>
    </x:xf>
    <x:xf numFmtId="210" fontId="10" fillId="2" borderId="0" xfId="0" applyNumberFormat="1" applyFont="1" applyFill="1" applyBorder="1" applyAlignment="1">
      <x:alignment vertical="center" wrapText="1"/>
    </x:xf>
    <x:xf numFmtId="210" fontId="10" fillId="2" borderId="0" xfId="0" applyNumberFormat="1" applyFont="1" applyFill="1" applyBorder="1" applyAlignment="1">
      <x:alignment horizontal="right" vertical="center" wrapText="1"/>
    </x:xf>
    <x:xf numFmtId="209" fontId="10" fillId="2" borderId="0" xfId="0" applyNumberFormat="1" applyFont="1" applyFill="1" applyBorder="1" applyAlignment="1">
      <x:alignment vertical="center" wrapText="1"/>
    </x:xf>
    <x:xf numFmtId="209" fontId="10" fillId="2" borderId="0" xfId="0" applyNumberFormat="1" applyFont="1" applyFill="1" applyBorder="1" applyAlignment="1">
      <x:alignment horizontal="right" vertical="center" wrapText="1"/>
    </x:xf>
    <x:xf numFmtId="212" fontId="1" fillId="2" borderId="0" xfId="0" applyNumberFormat="1" applyFont="1" applyFill="1" applyBorder="1" applyAlignment="1">
      <x:alignment vertical="center" wrapText="1"/>
    </x:xf>
    <x:xf numFmtId="212" fontId="10" fillId="2" borderId="0" xfId="0" applyNumberFormat="1" applyFont="1" applyFill="1" applyBorder="1" applyAlignment="1">
      <x:alignment vertical="center" wrapText="1"/>
    </x:xf>
    <x:xf numFmtId="212" fontId="10" fillId="2" borderId="0" xfId="0" applyNumberFormat="1" applyFont="1" applyFill="1" applyBorder="1" applyAlignment="1">
      <x:alignment horizontal="right" vertical="center" wrapText="1"/>
    </x:xf>
    <x:xf numFmtId="210" fontId="10" fillId="4" borderId="0" xfId="0" applyNumberFormat="1" applyFont="1" applyFill="1" applyBorder="1" applyAlignment="1">
      <x:alignment horizontal="right" vertical="center" wrapText="1"/>
    </x:xf>
    <x:xf numFmtId="210" fontId="17" fillId="4" borderId="0" xfId="0" applyNumberFormat="1" applyFont="1" applyFill="1" applyBorder="1" applyAlignment="1">
      <x:alignment horizontal="right" vertical="center" wrapText="1"/>
    </x:xf>
    <x:xf numFmtId="210" fontId="17" fillId="4" borderId="2" xfId="0" applyNumberFormat="1" applyFont="1" applyFill="1" applyBorder="1" applyAlignment="1">
      <x:alignment horizontal="right" vertical="center" wrapText="1"/>
    </x:xf>
    <x:xf numFmtId="205" fontId="10" fillId="2" borderId="0" xfId="0" applyNumberFormat="1" applyFont="1" applyFill="1" applyBorder="1" applyAlignment="1">
      <x:alignment horizontal="right" vertical="center" wrapText="1"/>
    </x:xf>
    <x:xf numFmtId="207" fontId="10" fillId="4" borderId="0" xfId="0" applyNumberFormat="1" applyFont="1" applyFill="1" applyBorder="1" applyAlignment="1">
      <x:alignment horizontal="right" vertical="center" wrapText="1"/>
    </x:xf>
    <x:xf numFmtId="207" fontId="17" fillId="4" borderId="0" xfId="0" applyNumberFormat="1" applyFont="1" applyFill="1" applyBorder="1" applyAlignment="1">
      <x:alignment horizontal="right" vertical="center" wrapText="1"/>
    </x:xf>
    <x:xf numFmtId="207" fontId="17" fillId="4" borderId="2" xfId="0" applyNumberFormat="1" applyFont="1" applyFill="1" applyBorder="1" applyAlignment="1">
      <x:alignment horizontal="right" vertical="center" wrapText="1"/>
    </x:xf>
    <x:xf numFmtId="211" fontId="10" fillId="2" borderId="0" xfId="0" applyNumberFormat="1" applyFont="1" applyFill="1" applyBorder="1" applyAlignment="1">
      <x:alignment vertical="center" wrapText="1"/>
    </x:xf>
    <x:xf numFmtId="211" fontId="10" fillId="2" borderId="0" xfId="0" applyNumberFormat="1" applyFont="1" applyFill="1" applyBorder="1" applyAlignment="1">
      <x:alignment horizontal="right" vertical="center" wrapText="1"/>
    </x:xf>
    <x:xf numFmtId="209" fontId="14" fillId="2" borderId="0" xfId="0" applyNumberFormat="1" applyFont="1" applyFill="1" applyBorder="1" applyAlignment="1">
      <x:alignment vertical="center" wrapText="1"/>
    </x:xf>
    <x:xf numFmtId="209" fontId="10" fillId="5" borderId="0" xfId="0" applyNumberFormat="1" applyFont="1" applyFill="1" applyBorder="1" applyAlignment="1">
      <x:alignment vertical="center" wrapText="1"/>
    </x:xf>
    <x:xf numFmtId="209" fontId="7" fillId="5" borderId="0" xfId="0" applyNumberFormat="1" applyFont="1" applyFill="1" applyBorder="1" applyAlignment="1">
      <x:alignment vertical="center" wrapText="1"/>
    </x:xf>
    <x:xf numFmtId="209" fontId="14" fillId="5" borderId="0" xfId="0" applyNumberFormat="1" applyFont="1" applyFill="1" applyBorder="1" applyAlignment="1">
      <x:alignment vertical="center" wrapText="1"/>
    </x:xf>
    <x:xf numFmtId="0" fontId="3" fillId="5" borderId="0" xfId="0" applyNumberFormat="1" applyFont="1" applyFill="1" applyBorder="1" applyAlignment="1">
      <x:alignment vertical="center" wrapText="1"/>
    </x:xf>
    <x:xf numFmtId="207" fontId="10" fillId="2" borderId="3" xfId="0" applyNumberFormat="1" applyFont="1" applyFill="1" applyBorder="1" applyAlignment="1">
      <x:alignment vertical="center" wrapText="1"/>
    </x:xf>
    <x:xf numFmtId="0" fontId="18" fillId="2" borderId="0" xfId="0" applyNumberFormat="1" applyFont="1" applyFill="1" applyBorder="1" applyAlignment="1">
      <x:alignment vertical="center" wrapText="1"/>
    </x:xf>
    <x:xf numFmtId="204" fontId="10" fillId="2" borderId="0" xfId="0" applyNumberFormat="1" applyFont="1" applyFill="1" applyBorder="1" applyAlignment="1">
      <x:alignment vertical="center" wrapText="1"/>
    </x:xf>
    <x:xf numFmtId="204" fontId="10" fillId="2" borderId="0" xfId="0" applyNumberFormat="1" applyFont="1" applyFill="1" applyBorder="1" applyAlignment="1">
      <x:alignment horizontal="right" vertical="center" wrapText="1"/>
    </x:xf>
    <x:xf numFmtId="0" fontId="19" fillId="2" borderId="0" xfId="0" applyNumberFormat="1" applyFont="1" applyFill="1" applyBorder="1" applyAlignment="1">
      <x:alignment vertical="center" wrapText="1"/>
    </x:xf>
    <x:xf numFmtId="0" fontId="20" fillId="2" borderId="0" xfId="0" applyNumberFormat="1" applyFont="1" applyFill="1" applyBorder="1" applyAlignment="1">
      <x:alignment vertical="center" wrapText="1"/>
    </x:xf>
    <x:xf numFmtId="205" fontId="20" fillId="2" borderId="0" xfId="0" applyNumberFormat="1" applyFont="1" applyFill="1" applyBorder="1" applyAlignment="1">
      <x:alignment vertical="center" wrapText="1"/>
    </x:xf>
    <x:xf numFmtId="205" fontId="21" fillId="2" borderId="0" xfId="0" applyNumberFormat="1" applyFont="1" applyFill="1" applyBorder="1" applyAlignment="1">
      <x:alignment vertical="center" wrapText="1"/>
    </x:xf>
    <x:xf numFmtId="0" fontId="7" fillId="2" borderId="0" xfId="0" applyNumberFormat="1" applyFont="1" applyFill="1" applyBorder="1" applyAlignment="1">
      <x:alignment vertical="center" wrapText="1"/>
    </x:xf>
    <x:xf numFmtId="0" fontId="22" fillId="2" borderId="0" xfId="0" applyNumberFormat="1" applyFont="1" applyFill="1" applyBorder="1" applyAlignment="1">
      <x:alignment vertical="center" wrapText="1"/>
    </x:xf>
    <x:xf numFmtId="207" fontId="22" fillId="2" borderId="0" xfId="0" applyNumberFormat="1" applyFont="1" applyFill="1" applyBorder="1" applyAlignment="1">
      <x:alignment vertical="center" wrapText="1"/>
    </x:xf>
    <x:xf numFmtId="207" fontId="23" fillId="2" borderId="0" xfId="0" applyNumberFormat="1" applyFont="1" applyFill="1" applyBorder="1" applyAlignment="1">
      <x:alignment vertical="center" wrapText="1"/>
    </x:xf>
    <x:xf numFmtId="207" fontId="24" fillId="2" borderId="0" xfId="0" applyNumberFormat="1" applyFont="1" applyFill="1" applyBorder="1" applyAlignment="1">
      <x:alignment vertical="center" wrapText="1"/>
    </x:xf>
    <x:xf numFmtId="210" fontId="22" fillId="2" borderId="0" xfId="0" applyNumberFormat="1" applyFont="1" applyFill="1" applyBorder="1" applyAlignment="1">
      <x:alignment vertical="center" wrapText="1"/>
    </x:xf>
    <x:xf numFmtId="210" fontId="23" fillId="2" borderId="0" xfId="0" applyNumberFormat="1" applyFont="1" applyFill="1" applyBorder="1" applyAlignment="1">
      <x:alignment vertical="center" wrapText="1"/>
    </x:xf>
    <x:xf numFmtId="210" fontId="24" fillId="2" borderId="0" xfId="0" applyNumberFormat="1" applyFont="1" applyFill="1" applyBorder="1" applyAlignment="1">
      <x:alignment vertical="center" wrapText="1"/>
    </x:xf>
    <x:xf numFmtId="209" fontId="22" fillId="2" borderId="0" xfId="0" applyNumberFormat="1" applyFont="1" applyFill="1" applyBorder="1" applyAlignment="1">
      <x:alignment vertical="center" wrapText="1"/>
    </x:xf>
    <x:xf numFmtId="209" fontId="23" fillId="2" borderId="0" xfId="0" applyNumberFormat="1" applyFont="1" applyFill="1" applyBorder="1" applyAlignment="1">
      <x:alignment vertical="center" wrapText="1"/>
    </x:xf>
    <x:xf numFmtId="209" fontId="24" fillId="2" borderId="0" xfId="0" applyNumberFormat="1" applyFont="1" applyFill="1" applyBorder="1" applyAlignment="1">
      <x:alignment vertical="center" wrapText="1"/>
    </x:xf>
    <x:xf numFmtId="207" fontId="13" fillId="2" borderId="0" xfId="0" applyNumberFormat="1" applyFont="1" applyFill="1" applyBorder="1" applyAlignment="1">
      <x:alignment vertical="center" wrapText="1"/>
    </x:xf>
    <x:xf numFmtId="207" fontId="13" fillId="2" borderId="0" xfId="0" applyNumberFormat="1" applyFont="1" applyFill="1" applyBorder="1" applyAlignment="1">
      <x:alignment horizontal="right" vertical="center" wrapText="1"/>
    </x:xf>
    <x:xf numFmtId="209" fontId="13" fillId="2" borderId="0" xfId="0" applyNumberFormat="1" applyFont="1" applyFill="1" applyBorder="1" applyAlignment="1">
      <x:alignment vertical="center" wrapText="1"/>
    </x:xf>
    <x:xf numFmtId="209" fontId="13" fillId="2" borderId="0" xfId="0" applyNumberFormat="1" applyFont="1" applyFill="1" applyBorder="1" applyAlignment="1">
      <x:alignment horizontal="right" vertical="center" wrapText="1"/>
    </x:xf>
    <x:xf numFmtId="205" fontId="13" fillId="2" borderId="0" xfId="0" applyNumberFormat="1" applyFont="1" applyFill="1" applyBorder="1" applyAlignment="1">
      <x:alignment vertical="center" wrapText="1"/>
    </x:xf>
    <x:xf numFmtId="205" fontId="13" fillId="2" borderId="0" xfId="0" applyNumberFormat="1" applyFont="1" applyFill="1" applyBorder="1" applyAlignment="1">
      <x:alignment horizontal="right" vertical="center" wrapText="1"/>
    </x:xf>
    <x:xf numFmtId="211" fontId="13" fillId="2" borderId="0" xfId="0" applyNumberFormat="1" applyFont="1" applyFill="1" applyBorder="1" applyAlignment="1">
      <x:alignment vertical="center" wrapText="1"/>
    </x:xf>
    <x:xf numFmtId="211" fontId="13" fillId="2" borderId="0" xfId="0" applyNumberFormat="1" applyFont="1" applyFill="1" applyBorder="1" applyAlignment="1">
      <x:alignment horizontal="right" vertical="center" wrapText="1"/>
    </x:xf>
    <x:xf numFmtId="0" fontId="25" fillId="2" borderId="0" xfId="0" applyNumberFormat="1" applyFont="1" applyFill="1" applyBorder="1" applyAlignment="1">
      <x:alignment vertical="center" wrapText="1"/>
    </x:xf>
    <x:xf numFmtId="205" fontId="26" fillId="2" borderId="0" xfId="0" applyNumberFormat="1" applyFont="1" applyFill="1" applyBorder="1" applyAlignment="1">
      <x:alignment horizontal="right" vertical="center" wrapText="1"/>
    </x:xf>
  </x:cellXfs>
  <x:cellStyles count="1">
    <x:cellStyle name="Normal" xfId="0"/>
  </x:cellStyles>
  <x:dxfs count="39">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
      <x:font>
        <x:color rgb="FF991B1B"/>
      </x:font>
      <x:fill>
        <x:patternFill patternType="solid">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ed1f6bd9f164643" /><Relationship Type="http://schemas.openxmlformats.org/officeDocument/2006/relationships/theme" Target="/xl/theme/theme1.xml" Id="R1e28ca8b0cbb40fc" /><Relationship Type="http://schemas.openxmlformats.org/officeDocument/2006/relationships/sharedStrings" Target="/xl/sharedStrings.xml" Id="R3d3026047de1484c" /><Relationship Type="http://schemas.openxmlformats.org/officeDocument/2006/relationships/worksheet" Target="/xl/worksheets/sheet1.xml" Id="R7da027b4325c447f" /><Relationship Type="http://schemas.openxmlformats.org/officeDocument/2006/relationships/worksheet" Target="/xl/worksheets/sheet2.xml" Id="R615a89bd2b6f4b9f" /><Relationship Type="http://schemas.openxmlformats.org/officeDocument/2006/relationships/worksheet" Target="/xl/worksheets/sheet3.xml" Id="Rc68fa4bc36c840da" /><Relationship Type="http://schemas.openxmlformats.org/officeDocument/2006/relationships/worksheet" Target="/xl/worksheets/sheet4.xml" Id="Rd67fe282b3694be2" /><Relationship Type="http://schemas.openxmlformats.org/officeDocument/2006/relationships/worksheet" Target="/xl/worksheets/sheet5.xml" Id="Rbdf718b608904b20" /><Relationship Type="http://schemas.openxmlformats.org/officeDocument/2006/relationships/worksheet" Target="/xl/worksheets/sheet6.xml" Id="R75b7ee7d83574c4b" /><Relationship Type="http://schemas.openxmlformats.org/officeDocument/2006/relationships/worksheet" Target="/xl/worksheets/sheet7.xml" Id="Rdf36cf5527fa4f68" /><Relationship Type="http://schemas.openxmlformats.org/officeDocument/2006/relationships/worksheet" Target="/xl/worksheets/sheet8.xml" Id="R7a6fe848dbfa491f" /></Relationships>
</file>

<file path=xl/drawings/_rels/drawing1.xml.rels>&#65279;<?xml version="1.0" encoding="utf-8"?><Relationships xmlns="http://schemas.openxmlformats.org/package/2006/relationships"><Relationship Type="http://schemas.openxmlformats.org/officeDocument/2006/relationships/image" Target="/xl/media/image.png" Id="Re16084fe73314270" /></Relationships>
</file>

<file path=xl/drawings/drawing1.xml><?xml version="1.0" encoding="utf-8"?>
<xdr:wsDr xmlns:xdr="http://schemas.openxmlformats.org/drawingml/2006/spreadsheetDrawing">
  <xdr:oneCellAnchor>
    <xdr:from>
      <xdr:col>5</xdr:col>
      <xdr:colOff>619125</xdr:colOff>
      <xdr:row>1</xdr:row>
      <xdr:rowOff>0</xdr:rowOff>
    </xdr:from>
    <xdr:ext cx="1371600" cy="523875"/>
    <xdr:pic>
      <xdr:nvPicPr>
        <xdr:cNvPr id="1" name="55408133-35b5-47b7-9dc5-a6cb6041d141"/>
        <xdr:cNvPicPr>
          <a:picLocks xmlns:a="http://schemas.openxmlformats.org/drawingml/2006/main" noChangeAspect="1"/>
        </xdr:cNvPicPr>
      </xdr:nvPicPr>
      <xdr:blipFill>
        <a:blip xmlns:r="http://schemas.openxmlformats.org/officeDocument/2006/relationships" xmlns:a="http://schemas.openxmlformats.org/drawingml/2006/main" r:embed="Re16084fe73314270"/>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1667c72150ee4c51" /></Relationships>
</file>

<file path=xl/worksheets/sheet1.xml><?xml version="1.0" encoding="utf-8"?>
<x:worksheet xmlns:x="http://schemas.openxmlformats.org/spreadsheetml/2006/main">
  <x:sheetPr>
    <x:tabColor rgb="FF1D4ED8"/>
    <x:pageSetUpPr fitToPage="1" autoPageBreaks="0"/>
  </x:sheetPr>
  <x:sheetViews>
    <x:sheetView showGridLines="0" workbookViewId="0"/>
  </x:sheetViews>
  <x:sheetFormatPr defaultRowHeight="15"/>
  <x:cols>
    <x:col min="1" max="1" width="1.1100000143051147" hidden="0" customWidth="1"/>
    <x:col min="2" max="2" width="1.1100000143051147" hidden="0" customWidth="1"/>
    <x:col min="3" max="3" width="26.110000610351562" hidden="0" customWidth="1"/>
    <x:col min="4" max="4" width="11.670000076293945" hidden="0" customWidth="1"/>
    <x:col min="5" max="5" width="2.2200000286102295" hidden="0" customWidth="1"/>
    <x:col min="6" max="6" width="23.889999389648438" hidden="0" customWidth="1"/>
    <x:col min="7" max="7" width="11.670000076293945" hidden="0" customWidth="1"/>
  </x:cols>
  <x:sheetData>
    <x:row r="1" ht="8" customHeight="1">
      <x:c r="A1" s="4"/>
      <x:c r="B1" s="4"/>
      <x:c r="C1" s="4"/>
      <x:c r="D1" s="4"/>
      <x:c r="E1" s="4"/>
      <x:c r="F1" s="4"/>
      <x:c r="G1" s="4"/>
    </x:row>
    <x:row r="2" ht="32" customHeight="1">
      <x:c r="A2" s="4"/>
      <x:c r="B2" s="4"/>
      <x:c r="C2" s="96" t="str">
        <x:v>Development brief</x:v>
      </x:c>
      <x:c r="D2" s="96"/>
      <x:c r="E2" s="96"/>
      <x:c r="F2" s="5"/>
      <x:c r="G2" s="5"/>
    </x:row>
    <x:row r="3" ht="30" customHeight="1">
      <x:c r="A3" s="4"/>
      <x:c r="B3" s="4"/>
      <x:c r="C3" s="6" t="str">
        <x:v>FinData Consulting  /  USD</x:v>
      </x:c>
      <x:c r="D3" s="6"/>
      <x:c r="E3" s="6"/>
      <x:c r="F3" s="6"/>
      <x:c r="G3" s="6"/>
    </x:row>
    <x:row r="4" ht="31" customHeight="1">
      <x:c r="A4" s="4"/>
      <x:c r="B4" s="4"/>
      <x:c r="C4" s="98" t="str">
        <x:f>IF('Inputs'!F60="","Name this project on Inputs",'Inputs'!F60)</x:f>
        <x:v>Illustrative retail / flex project</x:v>
      </x:c>
      <x:c r="D4" s="97"/>
      <x:c r="E4" s="97"/>
      <x:c r="F4" s="97"/>
      <x:c r="G4" s="97"/>
    </x:row>
    <x:row r="5" ht="9" customHeight="1">
      <x:c r="A5" s="4"/>
      <x:c r="B5" s="4"/>
      <x:c r="C5" s="7"/>
      <x:c r="D5" s="7"/>
      <x:c r="E5" s="7"/>
      <x:c r="F5" s="7"/>
      <x:c r="G5" s="7"/>
    </x:row>
    <x:row r="6" ht="9" customHeight="1">
      <x:c r="A6" s="4"/>
      <x:c r="B6" s="4"/>
      <x:c r="C6" s="4"/>
      <x:c r="D6" s="4"/>
      <x:c r="E6" s="4"/>
      <x:c r="F6" s="4"/>
      <x:c r="G6" s="4"/>
    </x:row>
    <x:row r="7" ht="19" customHeight="1">
      <x:c r="A7" s="4"/>
      <x:c r="B7" s="4"/>
      <x:c r="C7" s="100" t="str">
        <x:v>SUPPORTED LAND BUDGET</x:v>
      </x:c>
      <x:c r="D7" s="100"/>
      <x:c r="E7" s="4"/>
      <x:c r="F7" s="100" t="str">
        <x:v>CASH REQUIRED AT REFINANCE</x:v>
      </x:c>
      <x:c r="G7" s="100"/>
    </x:row>
    <x:row r="8" ht="34" customHeight="1">
      <x:c r="A8" s="4"/>
      <x:c r="B8" s="4"/>
      <x:c r="C8" s="104" t="n">
        <x:f>'Development'!D48</x:f>
        <x:v>687391.2050256993</x:v>
      </x:c>
      <x:c r="D8" s="101"/>
      <x:c r="E8" s="4"/>
      <x:c r="F8" s="104" t="n">
        <x:f>'Debt sizing'!D23</x:f>
        <x:v>105069.79867349193</x:v>
      </x:c>
      <x:c r="G8" s="101"/>
    </x:row>
    <x:row r="9" ht="23" customHeight="1">
      <x:c r="A9" s="4"/>
      <x:c r="B9" s="4"/>
      <x:c r="C9" s="22" t="str">
        <x:v>At both entered return targets.</x:v>
      </x:c>
      <x:c r="D9" s="22"/>
      <x:c r="E9" s="4"/>
      <x:c r="F9" s="22" t="str">
        <x:v>After loan fees and construction payoff.</x:v>
      </x:c>
      <x:c r="G9" s="22"/>
    </x:row>
    <x:row r="10" ht="9" customHeight="1">
      <x:c r="A10" s="4"/>
      <x:c r="B10" s="4"/>
      <x:c r="C10" s="4"/>
      <x:c r="D10" s="4"/>
      <x:c r="E10" s="4"/>
      <x:c r="F10" s="4"/>
      <x:c r="G10" s="4"/>
    </x:row>
    <x:row r="11" ht="19" customHeight="1">
      <x:c r="A11" s="4"/>
      <x:c r="B11" s="4"/>
      <x:c r="C11" s="100" t="str">
        <x:v>REQUIRED ANNUAL RENT / SF</x:v>
      </x:c>
      <x:c r="D11" s="100"/>
      <x:c r="E11" s="4"/>
      <x:c r="F11" s="100" t="str">
        <x:v>YIELD ON TOTAL COST</x:v>
      </x:c>
      <x:c r="G11" s="100"/>
    </x:row>
    <x:row r="12" ht="34" customHeight="1">
      <x:c r="A12" s="4"/>
      <x:c r="B12" s="4"/>
      <x:c r="C12" s="107" t="n">
        <x:f>'Development'!D58</x:f>
        <x:v>28.811875541767417</x:v>
      </x:c>
      <x:c r="D12" s="101"/>
      <x:c r="E12" s="4"/>
      <x:c r="F12" s="110" t="n">
        <x:f>'Development'!D43</x:f>
        <x:v>0.08261655706307006</x:v>
      </x:c>
      <x:c r="G12" s="101"/>
    </x:row>
    <x:row r="13" ht="23" customHeight="1">
      <x:c r="A13" s="4"/>
      <x:c r="B13" s="4"/>
      <x:c r="C13" s="22" t="str">
        <x:v>To meet the entered yield-on-cost target.</x:v>
      </x:c>
      <x:c r="D13" s="22"/>
      <x:c r="E13" s="4"/>
      <x:c r="F13" s="22" t="str">
        <x:v>Underwriting NOI after replacement reserve.</x:v>
      </x:c>
      <x:c r="G13" s="22"/>
    </x:row>
    <x:row r="14" ht="9" customHeight="1">
      <x:c r="A14" s="4"/>
      <x:c r="B14" s="4"/>
      <x:c r="C14" s="4"/>
      <x:c r="D14" s="4"/>
      <x:c r="E14" s="4"/>
      <x:c r="F14" s="4"/>
      <x:c r="G14" s="4"/>
    </x:row>
    <x:row r="15" ht="22" customHeight="1">
      <x:c r="A15" s="4"/>
      <x:c r="B15" s="4"/>
      <x:c r="C15" s="11" t="str">
        <x:v>PROJECT ECONOMICS</x:v>
      </x:c>
      <x:c r="D15" s="11"/>
      <x:c r="E15" s="11"/>
      <x:c r="F15" s="11"/>
      <x:c r="G15" s="11"/>
    </x:row>
    <x:row r="16" ht="19" customHeight="1">
      <x:c r="A16" s="4"/>
      <x:c r="B16" s="4"/>
      <x:c r="C16" s="4" t="str">
        <x:v>Total development cost</x:v>
      </x:c>
      <x:c r="D16" s="4"/>
      <x:c r="E16" s="4"/>
      <x:c r="F16" s="4"/>
      <x:c r="G16" s="112" t="n">
        <x:f>'Development'!D21</x:f>
        <x:v>5973040</x:v>
      </x:c>
    </x:row>
    <x:row r="17" ht="19" customHeight="1">
      <x:c r="A17" s="4"/>
      <x:c r="B17" s="4"/>
      <x:c r="C17" s="4" t="str">
        <x:v>Annual underwriting NOI</x:v>
      </x:c>
      <x:c r="D17" s="4"/>
      <x:c r="E17" s="4"/>
      <x:c r="F17" s="4"/>
      <x:c r="G17" s="112" t="n">
        <x:f>'Development'!D35</x:f>
        <x:v>493472</x:v>
      </x:c>
    </x:row>
    <x:row r="18" ht="19" customHeight="1">
      <x:c r="A18" s="4"/>
      <x:c r="B18" s="4"/>
      <x:c r="C18" s="4" t="str">
        <x:v>Modeled stabilized gross value</x:v>
      </x:c>
      <x:c r="D18" s="4"/>
      <x:c r="E18" s="4"/>
      <x:c r="F18" s="4"/>
      <x:c r="G18" s="112" t="n">
        <x:f>'Development'!D38</x:f>
        <x:v>7310696.296296296</x:v>
      </x:c>
    </x:row>
    <x:row r="19" ht="19" customHeight="1">
      <x:c r="A19" s="4"/>
      <x:c r="B19" s="4"/>
      <x:c r="C19" s="4" t="str">
        <x:v>Profit on total cost</x:v>
      </x:c>
      <x:c r="D19" s="4"/>
      <x:c r="E19" s="4"/>
      <x:c r="F19" s="4"/>
      <x:c r="G19" s="114" t="n">
        <x:f>'Development'!D42</x:f>
        <x:v>0.19335026868878963</x:v>
      </x:c>
    </x:row>
    <x:row r="20" ht="19" customHeight="1">
      <x:c r="A20" s="4"/>
      <x:c r="B20" s="4"/>
      <x:c r="C20" s="4" t="str">
        <x:v>Land headroom / (shortfall)</x:v>
      </x:c>
      <x:c r="D20" s="4"/>
      <x:c r="E20" s="4"/>
      <x:c r="F20" s="4"/>
      <x:c r="G20" s="112" t="n">
        <x:f>'Development'!D49</x:f>
        <x:v>-162608.79497430066</x:v>
      </x:c>
    </x:row>
    <x:row r="21" ht="19" customHeight="1">
      <x:c r="A21" s="4"/>
      <x:c r="B21" s="4"/>
      <x:c r="C21" s="4" t="str">
        <x:v>Additional delay carry</x:v>
      </x:c>
      <x:c r="D21" s="4"/>
      <x:c r="E21" s="4"/>
      <x:c r="F21" s="4"/>
      <x:c r="G21" s="112" t="n">
        <x:f>'Development'!D19</x:f>
        <x:v>0</x:v>
      </x:c>
    </x:row>
    <x:row r="22" ht="9" customHeight="1">
      <x:c r="A22" s="4"/>
      <x:c r="B22" s="4"/>
      <x:c r="C22" s="4"/>
      <x:c r="D22" s="4"/>
      <x:c r="E22" s="4"/>
      <x:c r="F22" s="4"/>
      <x:c r="G22" s="4"/>
    </x:row>
    <x:row r="23" ht="22" customHeight="1">
      <x:c r="A23" s="4"/>
      <x:c r="B23" s="4"/>
      <x:c r="C23" s="11" t="str">
        <x:v>FINANCING &amp; COVERAGE</x:v>
      </x:c>
      <x:c r="D23" s="11"/>
      <x:c r="E23" s="11"/>
      <x:c r="F23" s="11"/>
      <x:c r="G23" s="11"/>
    </x:row>
    <x:row r="24" ht="19" customHeight="1">
      <x:c r="A24" s="4"/>
      <x:c r="B24" s="4"/>
      <x:c r="C24" s="4" t="str">
        <x:v>Gross permanent debt capacity</x:v>
      </x:c>
      <x:c r="D24" s="4"/>
      <x:c r="E24" s="4"/>
      <x:c r="F24" s="4"/>
      <x:c r="G24" s="112" t="n">
        <x:f>'Debt sizing'!D15</x:f>
        <x:v>4280541.021761743</x:v>
      </x:c>
    </x:row>
    <x:row r="25" ht="19" customHeight="1">
      <x:c r="A25" s="4"/>
      <x:c r="B25" s="4"/>
      <x:c r="C25" s="4" t="str">
        <x:v>Binding debt constraint</x:v>
      </x:c>
      <x:c r="D25" s="4"/>
      <x:c r="E25" s="4"/>
      <x:c r="F25" s="4"/>
      <x:c r="G25" s="120" t="str">
        <x:f>'Debt sizing'!D16</x:f>
        <x:v>DSCR</x:v>
      </x:c>
    </x:row>
    <x:row r="26" ht="19" customHeight="1">
      <x:c r="A26" s="4"/>
      <x:c r="B26" s="4"/>
      <x:c r="C26" s="4" t="str">
        <x:v>Construction debt payoff</x:v>
      </x:c>
      <x:c r="D26" s="4"/>
      <x:c r="E26" s="4"/>
      <x:c r="F26" s="4"/>
      <x:c r="G26" s="112" t="n">
        <x:f>'Debt sizing'!D22</x:f>
        <x:v>4300000</x:v>
      </x:c>
    </x:row>
    <x:row r="27" ht="19" customHeight="1">
      <x:c r="A27" s="4"/>
      <x:c r="B27" s="4"/>
      <x:c r="C27" s="4" t="str">
        <x:v>Debt-service coverage</x:v>
      </x:c>
      <x:c r="D27" s="4"/>
      <x:c r="E27" s="4"/>
      <x:c r="F27" s="4"/>
      <x:c r="G27" s="118" t="n">
        <x:f>'Debt sizing'!D28</x:f>
        <x:v>1.3000000000000003</x:v>
      </x:c>
    </x:row>
    <x:row r="28" ht="19" customHeight="1">
      <x:c r="A28" s="4"/>
      <x:c r="B28" s="4"/>
      <x:c r="C28" s="4" t="str">
        <x:v>Occupancy to cover debt service</x:v>
      </x:c>
      <x:c r="D28" s="4"/>
      <x:c r="E28" s="4"/>
      <x:c r="F28" s="4"/>
      <x:c r="G28" s="114" t="n">
        <x:f>'Debt sizing'!D35</x:f>
        <x:v>0.7473527079348788</x:v>
      </x:c>
    </x:row>
    <x:row r="29" ht="9" customHeight="1">
      <x:c r="A29" s="4"/>
      <x:c r="B29" s="4"/>
      <x:c r="C29" s="4"/>
      <x:c r="D29" s="4"/>
      <x:c r="E29" s="4"/>
      <x:c r="F29" s="4"/>
      <x:c r="G29" s="4"/>
    </x:row>
    <x:row r="30" ht="22" customHeight="1">
      <x:c r="A30" s="4"/>
      <x:c r="B30" s="4"/>
      <x:c r="C30" s="11" t="str">
        <x:v>BEFORE THE NEXT DECISION</x:v>
      </x:c>
      <x:c r="D30" s="11"/>
      <x:c r="E30" s="11"/>
      <x:c r="F30" s="11"/>
      <x:c r="G30" s="11"/>
    </x:row>
    <x:row r="31" ht="17" customHeight="1">
      <x:c r="A31" s="4"/>
      <x:c r="B31" s="4"/>
      <x:c r="C31" s="22" t="str">
        <x:v>Confirm rents, construction scope, cap-rate NOI basis and lender terms. Use the sensitivity tables to identify what would change the land or financing decision. Record source dates and open items in Diligence.</x:v>
      </x:c>
      <x:c r="D31" s="22"/>
      <x:c r="E31" s="22"/>
      <x:c r="F31" s="22"/>
      <x:c r="G31" s="22"/>
    </x:row>
    <x:row r="32" ht="17" customHeight="1">
      <x:c r="A32" s="4"/>
      <x:c r="B32" s="4"/>
      <x:c r="C32" s="22"/>
      <x:c r="D32" s="22"/>
      <x:c r="E32" s="22"/>
      <x:c r="F32" s="22"/>
      <x:c r="G32" s="22"/>
    </x:row>
    <x:row r="33" ht="9" customHeight="1">
      <x:c r="A33" s="4"/>
      <x:c r="B33" s="4"/>
      <x:c r="C33" s="4"/>
      <x:c r="D33" s="4"/>
      <x:c r="E33" s="4"/>
      <x:c r="F33" s="4"/>
      <x:c r="G33" s="4"/>
    </x:row>
    <x:row r="34" ht="17" customHeight="1">
      <x:c r="A34" s="4"/>
      <x:c r="B34" s="4"/>
      <x:c r="C34" s="22" t="str">
        <x:v>Illustrative inputs only. A stabilized feasibility screen, not an appraisal or lending commitment. Excludes monthly cash flows, lease-by-lease analysis, taxes and IRR. See Guide &amp; sources before using.</x:v>
      </x:c>
      <x:c r="D34" s="22"/>
      <x:c r="E34" s="22"/>
      <x:c r="F34" s="22"/>
      <x:c r="G34" s="22"/>
    </x:row>
    <x:row r="35" ht="17" customHeight="1">
      <x:c r="A35" s="4"/>
      <x:c r="B35" s="4"/>
      <x:c r="C35" s="22"/>
      <x:c r="D35" s="22"/>
      <x:c r="E35" s="22"/>
      <x:c r="F35" s="22"/>
      <x:c r="G35" s="22"/>
    </x:row>
    <x:row r="36" ht="9" customHeight="1">
      <x:c r="A36" s="4"/>
      <x:c r="B36" s="4"/>
      <x:c r="C36" s="4"/>
      <x:c r="D36" s="4"/>
      <x:c r="E36" s="4"/>
      <x:c r="F36" s="4"/>
      <x:c r="G36" s="4"/>
    </x:row>
    <x:row r="37" ht="17" customHeight="1">
      <x:c r="A37" s="4"/>
      <x:c r="B37" s="4"/>
      <x:c r="C37" s="119" t="str">
        <x:v>findataconsulting.com/commercial-real-estate</x:v>
      </x:c>
      <x:c r="D37" s="119"/>
      <x:c r="E37" s="119"/>
      <x:c r="F37" s="119"/>
      <x:c r="G37" s="119"/>
    </x:row>
    <x:row r="38" ht="17" customHeight="1">
      <x:c r="A38" s="4"/>
      <x:c r="B38" s="4"/>
      <x:c r="C38" s="119"/>
      <x:c r="D38" s="119"/>
      <x:c r="E38" s="119"/>
      <x:c r="F38" s="119"/>
      <x:c r="G38" s="119"/>
    </x:row>
    <x:row r="39" ht="9" customHeight="1">
      <x:c r="A39" s="4"/>
      <x:c r="B39" s="4"/>
      <x:c r="C39" s="4"/>
      <x:c r="D39" s="4"/>
      <x:c r="E39" s="4"/>
      <x:c r="F39" s="4"/>
      <x:c r="G39" s="4"/>
    </x:row>
    <x:row r="40" ht="4" customHeight="1">
      <x:c r="A40" s="4"/>
      <x:c r="B40" s="4"/>
      <x:c r="C40" s="4"/>
      <x:c r="D40" s="4"/>
      <x:c r="E40" s="4"/>
      <x:c r="F40" s="4"/>
      <x:c r="G40" s="4"/>
    </x:row>
    <x:row r="41" ht="4" customHeight="1">
      <x:c r="A41" s="4"/>
      <x:c r="B41" s="4"/>
      <x:c r="C41" s="4"/>
      <x:c r="D41" s="4"/>
      <x:c r="E41" s="4"/>
      <x:c r="F41" s="4"/>
      <x:c r="G41" s="4"/>
    </x:row>
    <x:row r="42" ht="4" customHeight="1">
      <x:c r="A42" s="4"/>
      <x:c r="B42" s="4"/>
      <x:c r="C42" s="4"/>
      <x:c r="D42" s="4"/>
      <x:c r="E42" s="4"/>
      <x:c r="F42" s="4"/>
      <x:c r="G42" s="4"/>
    </x:row>
    <x:row r="43" ht="4" customHeight="1">
      <x:c r="A43" s="4"/>
      <x:c r="B43" s="4"/>
      <x:c r="C43" s="4"/>
      <x:c r="D43" s="4"/>
      <x:c r="E43" s="4"/>
      <x:c r="F43" s="4"/>
      <x:c r="G43" s="4"/>
    </x:row>
  </x:sheetData>
  <x:mergeCells>
    <x:mergeCell ref="C2:E2"/>
    <x:mergeCell ref="C3:E3"/>
    <x:mergeCell ref="C4:G4"/>
    <x:mergeCell ref="C7:D7"/>
    <x:mergeCell ref="C8:D8"/>
    <x:mergeCell ref="C9:D9"/>
    <x:mergeCell ref="F7:G7"/>
    <x:mergeCell ref="F8:G8"/>
    <x:mergeCell ref="F9:G9"/>
    <x:mergeCell ref="C11:D11"/>
    <x:mergeCell ref="C12:D12"/>
    <x:mergeCell ref="C13:D13"/>
    <x:mergeCell ref="F11:G11"/>
    <x:mergeCell ref="F12:G12"/>
    <x:mergeCell ref="F13:G13"/>
    <x:mergeCell ref="C15:G15"/>
    <x:mergeCell ref="C16:F16"/>
    <x:mergeCell ref="C17:F17"/>
    <x:mergeCell ref="C18:F18"/>
    <x:mergeCell ref="C19:F19"/>
    <x:mergeCell ref="C20:F20"/>
    <x:mergeCell ref="C21:F21"/>
    <x:mergeCell ref="C23:G23"/>
    <x:mergeCell ref="C24:F24"/>
    <x:mergeCell ref="C25:F25"/>
    <x:mergeCell ref="C26:F26"/>
    <x:mergeCell ref="C27:F27"/>
    <x:mergeCell ref="C28:F28"/>
    <x:mergeCell ref="C30:G30"/>
    <x:mergeCell ref="C31:G32"/>
    <x:mergeCell ref="C34:G35"/>
    <x:mergeCell ref="C37:G38"/>
  </x:mergeCells>
  <x:printOptions horizontalCentered="1" headings="0" gridLines="0"/>
  <x:pageMargins left="0.35" right="0.35" top="0.3" bottom="0.3" header="0.1" footer="0.1"/>
  <x:pageSetup paperSize="1" orientation="portrait" fitToWidth="1" fitToHeight="1"/>
  <x:headerFooter>
    <x:oddFooter>&amp;LFinData Consulting&amp;C&amp;A&amp;R&amp;P / &amp;N</x:oddFooter>
  </x:headerFooter>
  <x:drawing xmlns:r="http://schemas.openxmlformats.org/officeDocument/2006/relationships" r:id="R1667c72150ee4c51"/>
</x:worksheet>
</file>

<file path=xl/worksheets/sheet2.xml><?xml version="1.0" encoding="utf-8"?>
<x:worksheet xmlns:x="http://schemas.openxmlformats.org/spreadsheetml/2006/main">
  <x:sheetPr>
    <x:tabColor rgb="FF1E1B4B"/>
    <x:pageSetUpPr fitToPage="1" autoPageBreaks="0"/>
  </x:sheetPr>
  <x:sheetViews>
    <x:sheetView showGridLines="0" workbookViewId="0">
      <x:pane ySplit="6" topLeftCell="A7" activePane="bottomLeft" state="frozen"/>
    </x:sheetView>
  </x:sheetViews>
  <x:sheetFormatPr defaultRowHeight="15"/>
  <x:cols>
    <x:col min="1" max="1" width="1.1100000143051147" hidden="0" customWidth="1"/>
    <x:col min="2" max="2" width="1.1100000143051147" hidden="0" customWidth="1"/>
    <x:col min="3" max="3" width="35" hidden="0" customWidth="1"/>
    <x:col min="4" max="4" width="16.110000610351562" hidden="0" customWidth="1"/>
    <x:col min="5" max="5" width="2" hidden="0" customWidth="1"/>
    <x:col min="6" max="6" width="41.66999816894531" hidden="0" customWidth="1"/>
    <x:col min="7" max="7" width="11.109999656677246" hidden="0" customWidth="1"/>
  </x:cols>
  <x:sheetData>
    <x:row r="1" ht="8" customHeight="1">
      <x:c r="A1" s="4"/>
      <x:c r="B1" s="4"/>
      <x:c r="C1" s="4"/>
      <x:c r="D1" s="4"/>
      <x:c r="E1" s="4"/>
      <x:c r="F1" s="4"/>
      <x:c r="G1" s="4"/>
    </x:row>
    <x:row r="2" ht="32" customHeight="1">
      <x:c r="A2" s="4"/>
      <x:c r="B2" s="4"/>
      <x:c r="C2" s="8" t="str">
        <x:v>Project assumptions</x:v>
      </x:c>
      <x:c r="D2" s="8"/>
      <x:c r="E2" s="8"/>
      <x:c r="F2" s="8"/>
      <x:c r="G2" s="8"/>
    </x:row>
    <x:row r="3" ht="30" customHeight="1">
      <x:c r="A3" s="4"/>
      <x:c r="B3" s="4"/>
      <x:c r="C3" s="6" t="str">
        <x:v>01  /  Edit blue values in gold cells. Example inputs are hypothetical, not local market benchmarks.</x:v>
      </x:c>
      <x:c r="D3" s="6"/>
      <x:c r="E3" s="6"/>
      <x:c r="F3" s="6"/>
      <x:c r="G3" s="6"/>
    </x:row>
    <x:row r="4" ht="4" customHeight="1">
      <x:c r="A4" s="4"/>
      <x:c r="B4" s="4"/>
      <x:c r="C4" s="6" t="str"/>
      <x:c r="D4" s="6"/>
      <x:c r="E4" s="6"/>
      <x:c r="F4" s="6"/>
      <x:c r="G4" s="6"/>
    </x:row>
    <x:row r="5" ht="9" customHeight="1">
      <x:c r="A5" s="4"/>
      <x:c r="B5" s="4"/>
      <x:c r="C5" s="7"/>
      <x:c r="D5" s="7"/>
      <x:c r="E5" s="7"/>
      <x:c r="F5" s="7"/>
      <x:c r="G5" s="7"/>
    </x:row>
    <x:row r="6" ht="9" customHeight="1">
      <x:c r="A6" s="4"/>
      <x:c r="B6" s="4"/>
      <x:c r="C6" s="4"/>
      <x:c r="D6" s="4"/>
      <x:c r="E6" s="4"/>
      <x:c r="F6" s="4"/>
      <x:c r="G6" s="4"/>
    </x:row>
    <x:row r="7" ht="25" customHeight="1">
      <x:c r="A7" s="4"/>
      <x:c r="B7" s="4"/>
      <x:c r="C7" s="11" t="str">
        <x:v>PROJECT &amp; SITE</x:v>
      </x:c>
      <x:c r="D7" s="11"/>
      <x:c r="E7" s="11"/>
      <x:c r="F7" s="11"/>
      <x:c r="G7" s="11"/>
    </x:row>
    <x:row r="8" ht="27" customHeight="1">
      <x:c r="A8" s="4"/>
      <x:c r="B8" s="4"/>
      <x:c r="C8" s="4" t="str">
        <x:v>Net rentable area (SF)</x:v>
      </x:c>
      <x:c r="D8" s="32" t="n">
        <x:v>20000</x:v>
      </x:c>
      <x:c r="E8" s="4"/>
      <x:c r="F8" s="6" t="str">
        <x:v>Positive, rent-producing area. Excludes non-rentable common space.</x:v>
      </x:c>
      <x:c r="G8" s="34" t="str">
        <x:f>IF(AND(ISNUMBER(D8),ISNUMBER(CRE_Input8_Min)),IF(D8&gt;CRE_Input8_Min,"OK","Review"),"Review")</x:f>
        <x:v>OK</x:v>
      </x:c>
    </x:row>
    <x:row r="9" ht="27" customHeight="1">
      <x:c r="A9" s="4"/>
      <x:c r="B9" s="4"/>
      <x:c r="C9" s="4" t="str">
        <x:v>Gross building area (SF)</x:v>
      </x:c>
      <x:c r="D9" s="32" t="n">
        <x:v>22000</x:v>
      </x:c>
      <x:c r="E9" s="4"/>
      <x:c r="F9" s="6" t="str">
        <x:v>Must be at least net rentable area; used for shell cost.</x:v>
      </x:c>
      <x:c r="G9" s="34" t="str">
        <x:f>IF(AND(ISNUMBER(D9),ISNUMBER(CRE_Input9_Min)),IF(AND(D9&gt;CRE_Input9_Min,IF(ISNUMBER(D8),D9&gt;=D8,FALSE)),"OK","Review"),"Review")</x:f>
        <x:v>OK</x:v>
      </x:c>
    </x:row>
    <x:row r="10" ht="27" customHeight="1">
      <x:c r="A10" s="4"/>
      <x:c r="B10" s="4"/>
      <x:c r="C10" s="4" t="str">
        <x:v>Site area (acres)</x:v>
      </x:c>
      <x:c r="D10" s="38" t="n">
        <x:v>3.2</x:v>
      </x:c>
      <x:c r="E10" s="4"/>
      <x:c r="F10" s="6" t="str">
        <x:v>Gross site area; usable acreage and entitlement need separate diligence.</x:v>
      </x:c>
      <x:c r="G10" s="34" t="str">
        <x:f>IF(AND(ISNUMBER(D10),ISNUMBER(CRE_Input10_Min)),IF(D10&gt;CRE_Input10_Min,"OK","Review"),"Review")</x:f>
        <x:v>OK</x:v>
      </x:c>
    </x:row>
    <x:row r="11" ht="27" customHeight="1">
      <x:c r="A11" s="4"/>
      <x:c r="B11" s="4"/>
      <x:c r="C11" s="4" t="str">
        <x:v>Land purchase price</x:v>
      </x:c>
      <x:c r="D11" s="42" t="n">
        <x:v>850000</x:v>
      </x:c>
      <x:c r="E11" s="4"/>
      <x:c r="F11" s="6" t="str">
        <x:v>Asking or negotiated price, before land closing costs.</x:v>
      </x:c>
      <x:c r="G11" s="34" t="str">
        <x:f>IF(AND(ISNUMBER(D11),ISNUMBER(CRE_Input11_Min)),IF(D11&gt;=CRE_Input11_Min,"OK","Review"),"Review")</x:f>
        <x:v>OK</x:v>
      </x:c>
    </x:row>
    <x:row r="12" ht="27" customHeight="1">
      <x:c r="A12" s="4"/>
      <x:c r="B12" s="4"/>
      <x:c r="C12" s="50" t="str">
        <x:v>Land closing costs / land price</x:v>
      </x:c>
      <x:c r="D12" s="51" t="n">
        <x:v>0.03</x:v>
      </x:c>
      <x:c r="E12" s="4"/>
      <x:c r="F12" s="6" t="str">
        <x:v>Acquisition closing costs only. No hidden fixed closing charge.</x:v>
      </x:c>
      <x:c r="G12" s="34" t="str">
        <x:f>IF(AND(ISNUMBER(D12),ISNUMBER(CRE_Input12_Min)),IF(D12&gt;=CRE_Input12_Min,"OK","Review"),"Review")</x:f>
        <x:v>OK</x:v>
      </x:c>
    </x:row>
    <x:row r="13" ht="12" customHeight="1">
      <x:c r="A13" s="4"/>
      <x:c r="B13" s="4"/>
      <x:c r="C13" s="4"/>
      <x:c r="D13" s="4"/>
      <x:c r="E13" s="4"/>
      <x:c r="F13" s="4"/>
      <x:c r="G13" s="4"/>
    </x:row>
    <x:row r="14" ht="25" customHeight="1">
      <x:c r="A14" s="4"/>
      <x:c r="B14" s="4"/>
      <x:c r="C14" s="11" t="str">
        <x:v>STABILIZED OPERATIONS</x:v>
      </x:c>
      <x:c r="D14" s="11"/>
      <x:c r="E14" s="11"/>
      <x:c r="F14" s="11"/>
      <x:c r="G14" s="11"/>
    </x:row>
    <x:row r="15" ht="27" customHeight="1">
      <x:c r="A15" s="4"/>
      <x:c r="B15" s="4"/>
      <x:c r="C15" s="4" t="str">
        <x:v>Annual base rent / rentable SF</x:v>
      </x:c>
      <x:c r="D15" s="55" t="n">
        <x:v>28</x:v>
      </x:c>
      <x:c r="E15" s="4"/>
      <x:c r="F15" s="6" t="str">
        <x:v>Stabilized annual rate. Annual, not monthly; no rent growth modeled.</x:v>
      </x:c>
      <x:c r="G15" s="34" t="str">
        <x:f>IF(AND(ISNUMBER(D15),ISNUMBER(CRE_Input15_Min)),IF(D15&gt;=CRE_Input15_Min,"OK","Review"),"Review")</x:f>
        <x:v>OK</x:v>
      </x:c>
    </x:row>
    <x:row r="16" ht="27" customHeight="1">
      <x:c r="A16" s="4"/>
      <x:c r="B16" s="4"/>
      <x:c r="C16" s="50" t="str">
        <x:v>Stabilized economic occupancy</x:v>
      </x:c>
      <x:c r="D16" s="51" t="n">
        <x:v>0.92</x:v>
      </x:c>
      <x:c r="E16" s="4"/>
      <x:c r="F16" s="6" t="str">
        <x:v>Applies to base rent, reimbursements, initial TI and commissions.</x:v>
      </x:c>
      <x:c r="G16" s="34" t="str">
        <x:f>IF(AND(ISNUMBER(D16),ISNUMBER(CRE_Input16_Min),ISNUMBER(CRE_Input16_Max)),IF(AND(D16&gt;=CRE_Input16_Min,D16&lt;=CRE_Input16_Max),"OK","Review"),"Review")</x:f>
        <x:v>OK</x:v>
      </x:c>
    </x:row>
    <x:row r="17" ht="27" customHeight="1">
      <x:c r="A17" s="4"/>
      <x:c r="B17" s="4"/>
      <x:c r="C17" s="4" t="str">
        <x:v>Reimbursements / occupied SF / year</x:v>
      </x:c>
      <x:c r="D17" s="55" t="n">
        <x:v>6</x:v>
      </x:c>
      <x:c r="E17" s="4"/>
      <x:c r="F17" s="6" t="str">
        <x:v>Model reimbursements and gross operating costs separately.</x:v>
      </x:c>
      <x:c r="G17" s="34" t="str">
        <x:f>IF(AND(ISNUMBER(D17),ISNUMBER(CRE_Input17_Min)),IF(D17&gt;=CRE_Input17_Min,"OK","Review"),"Review")</x:f>
        <x:v>OK</x:v>
      </x:c>
    </x:row>
    <x:row r="18" ht="27" customHeight="1">
      <x:c r="A18" s="4"/>
      <x:c r="B18" s="4"/>
      <x:c r="C18" s="4" t="str">
        <x:v>Other income / year</x:v>
      </x:c>
      <x:c r="D18" s="42" t="n">
        <x:v>12000</x:v>
      </x:c>
      <x:c r="E18" s="4"/>
      <x:c r="F18" s="6" t="str">
        <x:v>Annual stabilized income, not multiplied by occupancy.</x:v>
      </x:c>
      <x:c r="G18" s="34" t="str">
        <x:f>IF(AND(ISNUMBER(D18),ISNUMBER(CRE_Input18_Min)),IF(D18&gt;=CRE_Input18_Min,"OK","Review"),"Review")</x:f>
        <x:v>OK</x:v>
      </x:c>
    </x:row>
    <x:row r="19" ht="27" customHeight="1">
      <x:c r="A19" s="4"/>
      <x:c r="B19" s="4"/>
      <x:c r="C19" s="4" t="str">
        <x:v>Operating expenses / rentable SF</x:v>
      </x:c>
      <x:c r="D19" s="55" t="n">
        <x:v>6</x:v>
      </x:c>
      <x:c r="E19" s="4"/>
      <x:c r="F19" s="6" t="str">
        <x:v>Gross recurring expenses; excludes management, reserves and debt.</x:v>
      </x:c>
      <x:c r="G19" s="34" t="str">
        <x:f>IF(AND(ISNUMBER(D19),ISNUMBER(CRE_Input19_Min)),IF(D19&gt;=CRE_Input19_Min,"OK","Review"),"Review")</x:f>
        <x:v>OK</x:v>
      </x:c>
    </x:row>
    <x:row r="20" ht="27" customHeight="1">
      <x:c r="A20" s="4"/>
      <x:c r="B20" s="4"/>
      <x:c r="C20" s="50" t="str">
        <x:v>Management / effective gross income</x:v>
      </x:c>
      <x:c r="D20" s="51" t="n">
        <x:v>0.03</x:v>
      </x:c>
      <x:c r="E20" s="4"/>
      <x:c r="F20" s="6" t="str">
        <x:v>Percentage of rent, reimbursements and other income.</x:v>
      </x:c>
      <x:c r="G20" s="34" t="str">
        <x:f>IF(AND(ISNUMBER(D20),ISNUMBER(CRE_Input20_Min),ISNUMBER(CRE_Input20_Max)),IF(AND(D20&gt;=CRE_Input20_Min,D20&lt;CRE_Input20_Max),"OK","Review"),"Review")</x:f>
        <x:v>OK</x:v>
      </x:c>
    </x:row>
    <x:row r="21" ht="27" customHeight="1">
      <x:c r="A21" s="4"/>
      <x:c r="B21" s="4"/>
      <x:c r="C21" s="4" t="str">
        <x:v>Replacement reserve / rentable SF</x:v>
      </x:c>
      <x:c r="D21" s="55" t="n">
        <x:v>0.25</x:v>
      </x:c>
      <x:c r="E21" s="4"/>
      <x:c r="F21" s="6" t="str">
        <x:v>Deducted from underwriting NOI throughout this model.</x:v>
      </x:c>
      <x:c r="G21" s="34" t="str">
        <x:f>IF(AND(ISNUMBER(D21),ISNUMBER(CRE_Input21_Min)),IF(D21&gt;=CRE_Input21_Min,"OK","Review"),"Review")</x:f>
        <x:v>OK</x:v>
      </x:c>
    </x:row>
    <x:row r="22" ht="12" customHeight="1">
      <x:c r="A22" s="4"/>
      <x:c r="B22" s="4"/>
      <x:c r="C22" s="4"/>
      <x:c r="D22" s="4"/>
      <x:c r="E22" s="4"/>
      <x:c r="F22" s="4"/>
      <x:c r="G22" s="4"/>
    </x:row>
    <x:row r="23" ht="25" customHeight="1">
      <x:c r="A23" s="4"/>
      <x:c r="B23" s="4"/>
      <x:c r="C23" s="11" t="str">
        <x:v>DEVELOPMENT COSTS</x:v>
      </x:c>
      <x:c r="D23" s="11"/>
      <x:c r="E23" s="11"/>
      <x:c r="F23" s="11"/>
      <x:c r="G23" s="11"/>
    </x:row>
    <x:row r="24" ht="27" customHeight="1">
      <x:c r="A24" s="4"/>
      <x:c r="B24" s="4"/>
      <x:c r="C24" s="4" t="str">
        <x:v>Shell hard cost / gross building SF</x:v>
      </x:c>
      <x:c r="D24" s="55" t="n">
        <x:v>155</x:v>
      </x:c>
      <x:c r="E24" s="4"/>
      <x:c r="F24" s="6" t="str">
        <x:v>Excludes site work, tenant improvements and soft costs below.</x:v>
      </x:c>
      <x:c r="G24" s="34" t="str">
        <x:f>IF(AND(ISNUMBER(D24),ISNUMBER(CRE_Input24_Min)),IF(D24&gt;=CRE_Input24_Min,"OK","Review"),"Review")</x:f>
        <x:v>OK</x:v>
      </x:c>
    </x:row>
    <x:row r="25" ht="27" customHeight="1">
      <x:c r="A25" s="4"/>
      <x:c r="B25" s="4"/>
      <x:c r="C25" s="4" t="str">
        <x:v>Site &amp; infrastructure costs</x:v>
      </x:c>
      <x:c r="D25" s="42" t="n">
        <x:v>200000</x:v>
      </x:c>
      <x:c r="E25" s="4"/>
      <x:c r="F25" s="6" t="str">
        <x:v>Grading, utilities and site work not already included in shell cost.</x:v>
      </x:c>
      <x:c r="G25" s="34" t="str">
        <x:f>IF(AND(ISNUMBER(D25),ISNUMBER(CRE_Input25_Min)),IF(D25&gt;=CRE_Input25_Min,"OK","Review"),"Review")</x:f>
        <x:v>OK</x:v>
      </x:c>
    </x:row>
    <x:row r="26" ht="27" customHeight="1">
      <x:c r="A26" s="4"/>
      <x:c r="B26" s="4"/>
      <x:c r="C26" s="50" t="str">
        <x:v>Contingency / shell + site costs</x:v>
      </x:c>
      <x:c r="D26" s="51" t="n">
        <x:v>0.05</x:v>
      </x:c>
      <x:c r="E26" s="4"/>
      <x:c r="F26" s="6" t="str">
        <x:v>Applied to shell and site costs only.</x:v>
      </x:c>
      <x:c r="G26" s="34" t="str">
        <x:f>IF(AND(ISNUMBER(D26),ISNUMBER(CRE_Input26_Min)),IF(D26&gt;=CRE_Input26_Min,"OK","Review"),"Review")</x:f>
        <x:v>OK</x:v>
      </x:c>
    </x:row>
    <x:row r="27" ht="27" customHeight="1">
      <x:c r="A27" s="4"/>
      <x:c r="B27" s="4"/>
      <x:c r="C27" s="50" t="str">
        <x:v>Soft costs / shell + site costs</x:v>
      </x:c>
      <x:c r="D27" s="51" t="n">
        <x:v>0.1</x:v>
      </x:c>
      <x:c r="E27" s="4"/>
      <x:c r="F27" s="6" t="str">
        <x:v>Excludes contingency; avoid duplicating fees entered elsewhere.</x:v>
      </x:c>
      <x:c r="G27" s="34" t="str">
        <x:f>IF(AND(ISNUMBER(D27),ISNUMBER(CRE_Input27_Min)),IF(D27&gt;=CRE_Input27_Min,"OK","Review"),"Review")</x:f>
        <x:v>OK</x:v>
      </x:c>
    </x:row>
    <x:row r="28" ht="27" customHeight="1">
      <x:c r="A28" s="4"/>
      <x:c r="B28" s="4"/>
      <x:c r="C28" s="4" t="str">
        <x:v>Initial TI / occupied rentable SF</x:v>
      </x:c>
      <x:c r="D28" s="55" t="n">
        <x:v>20</x:v>
      </x:c>
      <x:c r="E28" s="4"/>
      <x:c r="F28" s="6" t="str">
        <x:v>Initial tenant improvement allowance. No future rollover modeled.</x:v>
      </x:c>
      <x:c r="G28" s="34" t="str">
        <x:f>IF(AND(ISNUMBER(D28),ISNUMBER(CRE_Input28_Min)),IF(D28&gt;=CRE_Input28_Min,"OK","Review"),"Review")</x:f>
        <x:v>OK</x:v>
      </x:c>
    </x:row>
    <x:row r="29" ht="27" customHeight="1">
      <x:c r="A29" s="4"/>
      <x:c r="B29" s="4"/>
      <x:c r="C29" s="50" t="str">
        <x:v>Leasing commission / initial base rent</x:v>
      </x:c>
      <x:c r="D29" s="51" t="n">
        <x:v>0.04</x:v>
      </x:c>
      <x:c r="E29" s="4"/>
      <x:c r="F29" s="6" t="str">
        <x:v>Commission on occupied base rent over the entered lease term.</x:v>
      </x:c>
      <x:c r="G29" s="34" t="str">
        <x:f>IF(AND(ISNUMBER(D29),ISNUMBER(CRE_Input29_Min)),IF(D29&gt;=CRE_Input29_Min,"OK","Review"),"Review")</x:f>
        <x:v>OK</x:v>
      </x:c>
    </x:row>
    <x:row r="30" ht="27" customHeight="1">
      <x:c r="A30" s="4"/>
      <x:c r="B30" s="4"/>
      <x:c r="C30" s="4" t="str">
        <x:v>Initial lease term (years)</x:v>
      </x:c>
      <x:c r="D30" s="32" t="n">
        <x:v>5</x:v>
      </x:c>
      <x:c r="E30" s="4"/>
      <x:c r="F30" s="6" t="str">
        <x:v>Level annual base rent over this term; no escalations.</x:v>
      </x:c>
      <x:c r="G30" s="34" t="str">
        <x:f>IF(AND(ISNUMBER(D30),ISNUMBER(CRE_Input30_Min)),IF(AND(D30&gt;=CRE_Input30_Min,D30=INT(D30)),"OK","Review"),"Review")</x:f>
        <x:v>OK</x:v>
      </x:c>
    </x:row>
    <x:row r="31" ht="27" customHeight="1">
      <x:c r="A31" s="4"/>
      <x:c r="B31" s="4"/>
      <x:c r="C31" s="4" t="str">
        <x:v>Base financing &amp; interest carry budget</x:v>
      </x:c>
      <x:c r="D31" s="42" t="n">
        <x:v>275000</x:v>
      </x:c>
      <x:c r="E31" s="4"/>
      <x:c r="F31" s="6" t="str">
        <x:v>Enter a separately prepared budget; no monthly draw schedule.</x:v>
      </x:c>
      <x:c r="G31" s="34" t="str">
        <x:f>IF(AND(ISNUMBER(D31),ISNUMBER(CRE_Input31_Min)),IF(D31&gt;=CRE_Input31_Min,"OK","Review"),"Review")</x:f>
        <x:v>OK</x:v>
      </x:c>
    </x:row>
    <x:row r="32" ht="27" customHeight="1">
      <x:c r="A32" s="4"/>
      <x:c r="B32" s="4"/>
      <x:c r="C32" s="4" t="str">
        <x:v>Lease-up &amp; concession reserve</x:v>
      </x:c>
      <x:c r="D32" s="42" t="n">
        <x:v>100000</x:v>
      </x:c>
      <x:c r="E32" s="4"/>
      <x:c r="F32" s="6" t="str">
        <x:v>Initial reserve only. Distinct from stabilized vacancy and expenses.</x:v>
      </x:c>
      <x:c r="G32" s="34" t="str">
        <x:f>IF(AND(ISNUMBER(D32),ISNUMBER(CRE_Input32_Min)),IF(D32&gt;=CRE_Input32_Min,"OK","Review"),"Review")</x:f>
        <x:v>OK</x:v>
      </x:c>
    </x:row>
    <x:row r="33" ht="27" customHeight="1">
      <x:c r="A33" s="4"/>
      <x:c r="B33" s="4"/>
      <x:c r="C33" s="4" t="str">
        <x:v>Developer fee &amp; other project costs</x:v>
      </x:c>
      <x:c r="D33" s="42" t="n">
        <x:v>100000</x:v>
      </x:c>
      <x:c r="E33" s="4"/>
      <x:c r="F33" s="6" t="str">
        <x:v>Fixed allowance. Avoid amounts already in soft costs or carry.</x:v>
      </x:c>
      <x:c r="G33" s="34" t="str">
        <x:f>IF(AND(ISNUMBER(D33),ISNUMBER(CRE_Input33_Min)),IF(D33&gt;=CRE_Input33_Min,"OK","Review"),"Review")</x:f>
        <x:v>OK</x:v>
      </x:c>
    </x:row>
    <x:row r="34" ht="12" customHeight="1">
      <x:c r="A34" s="4"/>
      <x:c r="B34" s="4"/>
      <x:c r="C34" s="4"/>
      <x:c r="D34" s="4"/>
      <x:c r="E34" s="4"/>
      <x:c r="F34" s="4"/>
      <x:c r="G34" s="4"/>
    </x:row>
    <x:row r="35" ht="25" customHeight="1">
      <x:c r="A35" s="4"/>
      <x:c r="B35" s="4"/>
      <x:c r="C35" s="11" t="str">
        <x:v>VALUATION &amp; RETURN TARGETS</x:v>
      </x:c>
      <x:c r="D35" s="11"/>
      <x:c r="E35" s="11"/>
      <x:c r="F35" s="11"/>
      <x:c r="G35" s="11"/>
    </x:row>
    <x:row r="36" ht="27" customHeight="1">
      <x:c r="A36" s="4"/>
      <x:c r="B36" s="4"/>
      <x:c r="C36" s="50" t="str">
        <x:v>Exit / valuation cap rate</x:v>
      </x:c>
      <x:c r="D36" s="51" t="n">
        <x:v>0.0675</x:v>
      </x:c>
      <x:c r="E36" s="4"/>
      <x:c r="F36" s="6" t="str">
        <x:v>Must match this model’s NOI AFTER replacement reserve.</x:v>
      </x:c>
      <x:c r="G36" s="34" t="str">
        <x:f>IF(AND(ISNUMBER(D36),ISNUMBER(CRE_Input36_Min)),IF(D36&gt;CRE_Input36_Min,"OK","Review"),"Review")</x:f>
        <x:v>OK</x:v>
      </x:c>
    </x:row>
    <x:row r="37" ht="27" customHeight="1">
      <x:c r="A37" s="4"/>
      <x:c r="B37" s="4"/>
      <x:c r="C37" s="50" t="str">
        <x:v>Disposition costs / gross value</x:v>
      </x:c>
      <x:c r="D37" s="51" t="n">
        <x:v>0.025</x:v>
      </x:c>
      <x:c r="E37" s="4"/>
      <x:c r="F37" s="6" t="str">
        <x:v>Selling costs on modeled stabilized value; no income taxes.</x:v>
      </x:c>
      <x:c r="G37" s="34" t="str">
        <x:f>IF(AND(ISNUMBER(D37),ISNUMBER(CRE_Input37_Min),ISNUMBER(CRE_Input37_Max)),IF(AND(D37&gt;=CRE_Input37_Min,D37&lt;CRE_Input37_Max),"OK","Review"),"Review")</x:f>
        <x:v>OK</x:v>
      </x:c>
    </x:row>
    <x:row r="38" ht="27" customHeight="1">
      <x:c r="A38" s="4"/>
      <x:c r="B38" s="4"/>
      <x:c r="C38" s="50" t="str">
        <x:v>Target yield on total cost</x:v>
      </x:c>
      <x:c r="D38" s="51" t="n">
        <x:v>0.085</x:v>
      </x:c>
      <x:c r="E38" s="4"/>
      <x:c r="F38" s="6" t="str">
        <x:v>Annual underwriting NOI divided by total development cost.</x:v>
      </x:c>
      <x:c r="G38" s="34" t="str">
        <x:f>IF(AND(ISNUMBER(D38),ISNUMBER(CRE_Input38_Min)),IF(D38&gt;CRE_Input38_Min,"OK","Review"),"Review")</x:f>
        <x:v>OK</x:v>
      </x:c>
    </x:row>
    <x:row r="39" ht="27" customHeight="1">
      <x:c r="A39" s="4"/>
      <x:c r="B39" s="4"/>
      <x:c r="C39" s="50" t="str">
        <x:v>Target profit on total cost</x:v>
      </x:c>
      <x:c r="D39" s="51" t="n">
        <x:v>0.2</x:v>
      </x:c>
      <x:c r="E39" s="4"/>
      <x:c r="F39" s="6" t="str">
        <x:v>Profit divided by total cost, not margin on selling price.</x:v>
      </x:c>
      <x:c r="G39" s="34" t="str">
        <x:f>IF(AND(ISNUMBER(D39),ISNUMBER(CRE_Input39_Min)),IF(D39&gt;=CRE_Input39_Min,"OK","Review"),"Review")</x:f>
        <x:v>OK</x:v>
      </x:c>
    </x:row>
    <x:row r="40" ht="12" customHeight="1">
      <x:c r="A40" s="4"/>
      <x:c r="B40" s="4"/>
      <x:c r="C40" s="4"/>
      <x:c r="D40" s="4"/>
      <x:c r="E40" s="4"/>
      <x:c r="F40" s="4"/>
      <x:c r="G40" s="4"/>
    </x:row>
    <x:row r="41" ht="25" customHeight="1">
      <x:c r="A41" s="4"/>
      <x:c r="B41" s="4"/>
      <x:c r="C41" s="11" t="str">
        <x:v>FINANCING</x:v>
      </x:c>
      <x:c r="D41" s="11"/>
      <x:c r="E41" s="11"/>
      <x:c r="F41" s="11"/>
      <x:c r="G41" s="11"/>
    </x:row>
    <x:row r="42" ht="27" customHeight="1">
      <x:c r="A42" s="4"/>
      <x:c r="B42" s="4"/>
      <x:c r="C42" s="4" t="str">
        <x:v>Construction debt payoff</x:v>
      </x:c>
      <x:c r="D42" s="42" t="n">
        <x:v>4300000</x:v>
      </x:c>
      <x:c r="E42" s="4"/>
      <x:c r="F42" s="6" t="str">
        <x:v>Expected payoff including accrued items; not the loan commitment.</x:v>
      </x:c>
      <x:c r="G42" s="34" t="str">
        <x:f>IF(AND(ISNUMBER(D42),ISNUMBER(CRE_Input42_Min)),IF(D42&gt;=CRE_Input42_Min,"OK","Review"),"Review")</x:f>
        <x:v>OK</x:v>
      </x:c>
    </x:row>
    <x:row r="43" ht="27" customHeight="1">
      <x:c r="A43" s="4"/>
      <x:c r="B43" s="4"/>
      <x:c r="C43" s="50" t="str">
        <x:v>Permanent loan annual interest rate</x:v>
      </x:c>
      <x:c r="D43" s="51" t="n">
        <x:v>0.075</x:v>
      </x:c>
      <x:c r="E43" s="4"/>
      <x:c r="F43" s="6" t="str">
        <x:v>Fixed rate with monthly amortizing payments; zero is supported.</x:v>
      </x:c>
      <x:c r="G43" s="34" t="str">
        <x:f>IF(AND(ISNUMBER(D43),ISNUMBER(CRE_Input43_Min)),IF(D43&gt;=CRE_Input43_Min,"OK","Review"),"Review")</x:f>
        <x:v>OK</x:v>
      </x:c>
    </x:row>
    <x:row r="44" ht="27" customHeight="1">
      <x:c r="A44" s="4"/>
      <x:c r="B44" s="4"/>
      <x:c r="C44" s="4" t="str">
        <x:v>Permanent loan amortization (years)</x:v>
      </x:c>
      <x:c r="D44" s="32" t="n">
        <x:v>25</x:v>
      </x:c>
      <x:c r="E44" s="4"/>
      <x:c r="F44" s="6" t="str">
        <x:v>Monthly payments. Interest-only periods are outside this screen.</x:v>
      </x:c>
      <x:c r="G44" s="34" t="str">
        <x:f>IF(AND(ISNUMBER(D44),ISNUMBER(CRE_Input44_Min)),IF(AND(D44&gt;=CRE_Input44_Min,D44=INT(D44)),"OK","Review"),"Review")</x:f>
        <x:v>OK</x:v>
      </x:c>
    </x:row>
    <x:row r="45" ht="27" customHeight="1">
      <x:c r="A45" s="4"/>
      <x:c r="B45" s="4"/>
      <x:c r="C45" s="50" t="str">
        <x:v>Maximum permanent LTV</x:v>
      </x:c>
      <x:c r="D45" s="51" t="n">
        <x:v>0.65</x:v>
      </x:c>
      <x:c r="E45" s="4"/>
      <x:c r="F45" s="6" t="str">
        <x:v>Illustrative lender limit; uses modeled stabilized value.</x:v>
      </x:c>
      <x:c r="G45" s="34" t="str">
        <x:f>IF(AND(ISNUMBER(D45),ISNUMBER(CRE_Input45_Min),ISNUMBER(CRE_Input45_Max)),IF(AND(D45&gt;CRE_Input45_Min,D45&lt;=CRE_Input45_Max),"OK","Review"),"Review")</x:f>
        <x:v>OK</x:v>
      </x:c>
    </x:row>
    <x:row r="46" ht="27" customHeight="1">
      <x:c r="A46" s="4"/>
      <x:c r="B46" s="4"/>
      <x:c r="C46" s="4" t="str">
        <x:v>Minimum permanent DSCR</x:v>
      </x:c>
      <x:c r="D46" s="59" t="n">
        <x:v>1.3</x:v>
      </x:c>
      <x:c r="E46" s="4"/>
      <x:c r="F46" s="6" t="str">
        <x:v>Annual underwriting NOI / annual debt service.</x:v>
      </x:c>
      <x:c r="G46" s="34" t="str">
        <x:f>IF(AND(ISNUMBER(D46),ISNUMBER(CRE_Input46_Min)),IF(D46&gt;CRE_Input46_Min,"OK","Review"),"Review")</x:f>
        <x:v>OK</x:v>
      </x:c>
    </x:row>
    <x:row r="47" ht="27" customHeight="1">
      <x:c r="A47" s="4"/>
      <x:c r="B47" s="4"/>
      <x:c r="C47" s="50" t="str">
        <x:v>Minimum permanent debt yield</x:v>
      </x:c>
      <x:c r="D47" s="51" t="n">
        <x:v>0.1</x:v>
      </x:c>
      <x:c r="E47" s="4"/>
      <x:c r="F47" s="6" t="str">
        <x:v>Annual underwriting NOI / gross permanent loan.</x:v>
      </x:c>
      <x:c r="G47" s="34" t="str">
        <x:f>IF(AND(ISNUMBER(D47),ISNUMBER(CRE_Input47_Min)),IF(D47&gt;CRE_Input47_Min,"OK","Review"),"Review")</x:f>
        <x:v>OK</x:v>
      </x:c>
    </x:row>
    <x:row r="48" ht="27" customHeight="1">
      <x:c r="A48" s="4"/>
      <x:c r="B48" s="4"/>
      <x:c r="C48" s="50" t="str">
        <x:v>Permanent financing fees / loan</x:v>
      </x:c>
      <x:c r="D48" s="51" t="n">
        <x:v>0.02</x:v>
      </x:c>
      <x:c r="E48" s="4"/>
      <x:c r="F48" s="6" t="str">
        <x:v>Deducted from proceeds, not development cost; excludes tax effects.</x:v>
      </x:c>
      <x:c r="G48" s="34" t="str">
        <x:f>IF(AND(ISNUMBER(D48),ISNUMBER(CRE_Input48_Min),ISNUMBER(CRE_Input48_Max)),IF(AND(D48&gt;=CRE_Input48_Min,D48&lt;CRE_Input48_Max),"OK","Review"),"Review")</x:f>
        <x:v>OK</x:v>
      </x:c>
    </x:row>
    <x:row r="49" ht="12" customHeight="1">
      <x:c r="A49" s="4"/>
      <x:c r="B49" s="4"/>
      <x:c r="C49" s="4"/>
      <x:c r="D49" s="4"/>
      <x:c r="E49" s="4"/>
      <x:c r="F49" s="4"/>
      <x:c r="G49" s="4"/>
    </x:row>
    <x:row r="50" ht="25" customHeight="1">
      <x:c r="A50" s="4"/>
      <x:c r="B50" s="4"/>
      <x:c r="C50" s="11" t="str">
        <x:v>ADDITIONAL DELAY</x:v>
      </x:c>
      <x:c r="D50" s="11"/>
      <x:c r="E50" s="11"/>
      <x:c r="F50" s="11"/>
      <x:c r="G50" s="11"/>
    </x:row>
    <x:row r="51" ht="27" customHeight="1">
      <x:c r="A51" s="4"/>
      <x:c r="B51" s="4"/>
      <x:c r="C51" s="4" t="str">
        <x:v>Additional delay (months)</x:v>
      </x:c>
      <x:c r="D51" s="32" t="n">
        <x:v>0</x:v>
      </x:c>
      <x:c r="E51" s="4"/>
      <x:c r="F51" s="6" t="str">
        <x:v>Beyond the base carry budget. Added carry is funded with equity.</x:v>
      </x:c>
      <x:c r="G51" s="34" t="str">
        <x:f>IF(AND(ISNUMBER(D51),ISNUMBER(CRE_Input51_Min)),IF(AND(D51&gt;=CRE_Input51_Min,D51=INT(D51)),"OK","Review"),"Review")</x:f>
        <x:v>OK</x:v>
      </x:c>
    </x:row>
    <x:row r="52" ht="27" customHeight="1">
      <x:c r="A52" s="4"/>
      <x:c r="B52" s="4"/>
      <x:c r="C52" s="50" t="str">
        <x:v>Construction annual interest rate</x:v>
      </x:c>
      <x:c r="D52" s="51" t="n">
        <x:v>0.085</x:v>
      </x:c>
      <x:c r="E52" s="4"/>
      <x:c r="F52" s="6" t="str">
        <x:v>Simple additional interest on the entered, fixed debt payoff.</x:v>
      </x:c>
      <x:c r="G52" s="34" t="str">
        <x:f>IF(AND(ISNUMBER(D52),ISNUMBER(CRE_Input52_Min)),IF(D52&gt;=CRE_Input52_Min,"OK","Review"),"Review")</x:f>
        <x:v>OK</x:v>
      </x:c>
    </x:row>
    <x:row r="53" ht="27" customHeight="1">
      <x:c r="A53" s="4"/>
      <x:c r="B53" s="4"/>
      <x:c r="C53" s="4" t="str">
        <x:v>Other additional carry / month</x:v>
      </x:c>
      <x:c r="D53" s="42" t="n">
        <x:v>10000</x:v>
      </x:c>
      <x:c r="E53" s="4"/>
      <x:c r="F53" s="6" t="str">
        <x:v>Incremental taxes, insurance or overhead; avoid double counting.</x:v>
      </x:c>
      <x:c r="G53" s="34" t="str">
        <x:f>IF(AND(ISNUMBER(D53),ISNUMBER(CRE_Input53_Min)),IF(D53&gt;=CRE_Input53_Min,"OK","Review"),"Review")</x:f>
        <x:v>OK</x:v>
      </x:c>
    </x:row>
    <x:row r="54" ht="12" customHeight="1">
      <x:c r="A54" s="4"/>
      <x:c r="B54" s="4"/>
      <x:c r="C54" s="4"/>
      <x:c r="D54" s="4"/>
      <x:c r="E54" s="4"/>
      <x:c r="F54" s="4"/>
      <x:c r="G54" s="4"/>
    </x:row>
    <x:row r="55" ht="25" customHeight="1">
      <x:c r="A55" s="4"/>
      <x:c r="B55" s="4"/>
      <x:c r="C55" s="11" t="str">
        <x:v>SENSITIVITY STEPS</x:v>
      </x:c>
      <x:c r="D55" s="11"/>
      <x:c r="E55" s="11"/>
      <x:c r="F55" s="11"/>
      <x:c r="G55" s="11"/>
    </x:row>
    <x:row r="56" ht="27" customHeight="1">
      <x:c r="A56" s="4"/>
      <x:c r="B56" s="4"/>
      <x:c r="C56" s="4" t="str">
        <x:v>Rent sensitivity increment / SF</x:v>
      </x:c>
      <x:c r="D56" s="55" t="n">
        <x:v>2</x:v>
      </x:c>
      <x:c r="E56" s="4"/>
      <x:c r="F56" s="6" t="str">
        <x:v>Five rows: base rent plus or minus one and two increments.</x:v>
      </x:c>
      <x:c r="G56" s="34" t="str">
        <x:f>IF(AND(ISNUMBER(D56),ISNUMBER(CRE_Input56_Min)),IF(D56&gt;CRE_Input56_Min,"OK","Review"),"Review")</x:f>
        <x:v>OK</x:v>
      </x:c>
    </x:row>
    <x:row r="57" ht="27" customHeight="1">
      <x:c r="A57" s="4"/>
      <x:c r="B57" s="4"/>
      <x:c r="C57" s="50" t="str">
        <x:v>Cap-rate sensitivity increment</x:v>
      </x:c>
      <x:c r="D57" s="51" t="n">
        <x:v>0.005</x:v>
      </x:c>
      <x:c r="E57" s="4"/>
      <x:c r="F57" s="6" t="str">
        <x:v>Five columns around the base cap rate; nonpositive cases show n.a.</x:v>
      </x:c>
      <x:c r="G57" s="34" t="str">
        <x:f>IF(AND(ISNUMBER(D57),ISNUMBER(CRE_Input57_Min)),IF(D57&gt;CRE_Input57_Min,"OK","Review"),"Review")</x:f>
        <x:v>OK</x:v>
      </x:c>
    </x:row>
    <x:row r="58" ht="27" customHeight="1">
      <x:c r="A58" s="4"/>
      <x:c r="B58" s="4"/>
      <x:c r="C58" s="50" t="str">
        <x:v>Interest-rate sensitivity increment</x:v>
      </x:c>
      <x:c r="D58" s="51" t="n">
        <x:v>0.005</x:v>
      </x:c>
      <x:c r="E58" s="4"/>
      <x:c r="F58" s="6" t="str">
        <x:v>Five rows around the permanent rate; negative cases show n.a.</x:v>
      </x:c>
      <x:c r="G58" s="34" t="str">
        <x:f>IF(AND(ISNUMBER(D58),ISNUMBER(CRE_Input58_Min)),IF(D58&gt;CRE_Input58_Min,"OK","Review"),"Review")</x:f>
        <x:v>OK</x:v>
      </x:c>
    </x:row>
    <x:row r="59" ht="12" customHeight="1">
      <x:c r="A59" s="4"/>
      <x:c r="B59" s="4"/>
      <x:c r="C59" s="4"/>
      <x:c r="D59" s="4"/>
      <x:c r="E59" s="4"/>
      <x:c r="F59" s="4"/>
      <x:c r="G59" s="4"/>
    </x:row>
    <x:row r="60" ht="38" customHeight="1">
      <x:c r="A60" s="4"/>
      <x:c r="B60" s="4"/>
      <x:c r="C60" s="60" t="str">
        <x:v>Project name</x:v>
      </x:c>
      <x:c r="D60" s="60"/>
      <x:c r="E60" s="4"/>
      <x:c r="F60" s="24" t="str">
        <x:v>Illustrative retail / flex project</x:v>
      </x:c>
      <x:c r="G60" s="24"/>
    </x:row>
    <x:row r="61" ht="38" customHeight="1">
      <x:c r="A61" s="4"/>
      <x:c r="B61" s="4"/>
      <x:c r="C61" s="6" t="str">
        <x:v>Blue / gold = editable. Black = local formula. Green = cross-sheet formula. Input checks reference the visible limits on Model controls.</x:v>
      </x:c>
      <x:c r="D61" s="6"/>
      <x:c r="E61" s="6"/>
      <x:c r="F61" s="6"/>
      <x:c r="G61" s="6"/>
    </x:row>
  </x:sheetData>
  <x:mergeCells>
    <x:mergeCell ref="C2:G2"/>
    <x:mergeCell ref="C3:G3"/>
    <x:mergeCell ref="C4:G4"/>
    <x:mergeCell ref="C7:G7"/>
    <x:mergeCell ref="C14:G14"/>
    <x:mergeCell ref="C23:G23"/>
    <x:mergeCell ref="C35:G35"/>
    <x:mergeCell ref="C41:G41"/>
    <x:mergeCell ref="C50:G50"/>
    <x:mergeCell ref="C55:G55"/>
    <x:mergeCell ref="C60:D60"/>
    <x:mergeCell ref="F60:G60"/>
    <x:mergeCell ref="C61:G61"/>
  </x:mergeCells>
  <x:conditionalFormatting sqref="D8:G8">
    <x:cfRule type="expression" dxfId="0" priority="1">
      <x:formula>$G8="Review"</x:formula>
    </x:cfRule>
  </x:conditionalFormatting>
  <x:conditionalFormatting sqref="D9:G9">
    <x:cfRule type="expression" dxfId="1" priority="2">
      <x:formula>$G9="Review"</x:formula>
    </x:cfRule>
  </x:conditionalFormatting>
  <x:conditionalFormatting sqref="D10:G10">
    <x:cfRule type="expression" dxfId="2" priority="3">
      <x:formula>$G10="Review"</x:formula>
    </x:cfRule>
  </x:conditionalFormatting>
  <x:conditionalFormatting sqref="D11:G11">
    <x:cfRule type="expression" dxfId="3" priority="4">
      <x:formula>$G11="Review"</x:formula>
    </x:cfRule>
  </x:conditionalFormatting>
  <x:conditionalFormatting sqref="D12:G12">
    <x:cfRule type="expression" dxfId="4" priority="5">
      <x:formula>$G12="Review"</x:formula>
    </x:cfRule>
  </x:conditionalFormatting>
  <x:conditionalFormatting sqref="D15:G15">
    <x:cfRule type="expression" dxfId="5" priority="6">
      <x:formula>$G15="Review"</x:formula>
    </x:cfRule>
  </x:conditionalFormatting>
  <x:conditionalFormatting sqref="D16:G16">
    <x:cfRule type="expression" dxfId="6" priority="7">
      <x:formula>$G16="Review"</x:formula>
    </x:cfRule>
  </x:conditionalFormatting>
  <x:conditionalFormatting sqref="D17:G17">
    <x:cfRule type="expression" dxfId="7" priority="8">
      <x:formula>$G17="Review"</x:formula>
    </x:cfRule>
  </x:conditionalFormatting>
  <x:conditionalFormatting sqref="D18:G18">
    <x:cfRule type="expression" dxfId="8" priority="9">
      <x:formula>$G18="Review"</x:formula>
    </x:cfRule>
  </x:conditionalFormatting>
  <x:conditionalFormatting sqref="D19:G19">
    <x:cfRule type="expression" dxfId="9" priority="10">
      <x:formula>$G19="Review"</x:formula>
    </x:cfRule>
  </x:conditionalFormatting>
  <x:conditionalFormatting sqref="D20:G20">
    <x:cfRule type="expression" dxfId="10" priority="11">
      <x:formula>$G20="Review"</x:formula>
    </x:cfRule>
  </x:conditionalFormatting>
  <x:conditionalFormatting sqref="D21:G21">
    <x:cfRule type="expression" dxfId="11" priority="12">
      <x:formula>$G21="Review"</x:formula>
    </x:cfRule>
  </x:conditionalFormatting>
  <x:conditionalFormatting sqref="D24:G24">
    <x:cfRule type="expression" dxfId="12" priority="13">
      <x:formula>$G24="Review"</x:formula>
    </x:cfRule>
  </x:conditionalFormatting>
  <x:conditionalFormatting sqref="D25:G25">
    <x:cfRule type="expression" dxfId="13" priority="14">
      <x:formula>$G25="Review"</x:formula>
    </x:cfRule>
  </x:conditionalFormatting>
  <x:conditionalFormatting sqref="D26:G26">
    <x:cfRule type="expression" dxfId="14" priority="15">
      <x:formula>$G26="Review"</x:formula>
    </x:cfRule>
  </x:conditionalFormatting>
  <x:conditionalFormatting sqref="D27:G27">
    <x:cfRule type="expression" dxfId="15" priority="16">
      <x:formula>$G27="Review"</x:formula>
    </x:cfRule>
  </x:conditionalFormatting>
  <x:conditionalFormatting sqref="D28:G28">
    <x:cfRule type="expression" dxfId="16" priority="17">
      <x:formula>$G28="Review"</x:formula>
    </x:cfRule>
  </x:conditionalFormatting>
  <x:conditionalFormatting sqref="D29:G29">
    <x:cfRule type="expression" dxfId="17" priority="18">
      <x:formula>$G29="Review"</x:formula>
    </x:cfRule>
  </x:conditionalFormatting>
  <x:conditionalFormatting sqref="D30:G30">
    <x:cfRule type="expression" dxfId="18" priority="19">
      <x:formula>$G30="Review"</x:formula>
    </x:cfRule>
  </x:conditionalFormatting>
  <x:conditionalFormatting sqref="D31:G31">
    <x:cfRule type="expression" dxfId="19" priority="20">
      <x:formula>$G31="Review"</x:formula>
    </x:cfRule>
  </x:conditionalFormatting>
  <x:conditionalFormatting sqref="D32:G32">
    <x:cfRule type="expression" dxfId="20" priority="21">
      <x:formula>$G32="Review"</x:formula>
    </x:cfRule>
  </x:conditionalFormatting>
  <x:conditionalFormatting sqref="D33:G33">
    <x:cfRule type="expression" dxfId="21" priority="22">
      <x:formula>$G33="Review"</x:formula>
    </x:cfRule>
  </x:conditionalFormatting>
  <x:conditionalFormatting sqref="D36:G36">
    <x:cfRule type="expression" dxfId="22" priority="23">
      <x:formula>$G36="Review"</x:formula>
    </x:cfRule>
  </x:conditionalFormatting>
  <x:conditionalFormatting sqref="D37:G37">
    <x:cfRule type="expression" dxfId="23" priority="24">
      <x:formula>$G37="Review"</x:formula>
    </x:cfRule>
  </x:conditionalFormatting>
  <x:conditionalFormatting sqref="D38:G38">
    <x:cfRule type="expression" dxfId="24" priority="25">
      <x:formula>$G38="Review"</x:formula>
    </x:cfRule>
  </x:conditionalFormatting>
  <x:conditionalFormatting sqref="D39:G39">
    <x:cfRule type="expression" dxfId="25" priority="26">
      <x:formula>$G39="Review"</x:formula>
    </x:cfRule>
  </x:conditionalFormatting>
  <x:conditionalFormatting sqref="D42:G42">
    <x:cfRule type="expression" dxfId="26" priority="27">
      <x:formula>$G42="Review"</x:formula>
    </x:cfRule>
  </x:conditionalFormatting>
  <x:conditionalFormatting sqref="D43:G43">
    <x:cfRule type="expression" dxfId="27" priority="28">
      <x:formula>$G43="Review"</x:formula>
    </x:cfRule>
  </x:conditionalFormatting>
  <x:conditionalFormatting sqref="D44:G44">
    <x:cfRule type="expression" dxfId="28" priority="29">
      <x:formula>$G44="Review"</x:formula>
    </x:cfRule>
  </x:conditionalFormatting>
  <x:conditionalFormatting sqref="D45:G45">
    <x:cfRule type="expression" dxfId="29" priority="30">
      <x:formula>$G45="Review"</x:formula>
    </x:cfRule>
  </x:conditionalFormatting>
  <x:conditionalFormatting sqref="D46:G46">
    <x:cfRule type="expression" dxfId="30" priority="31">
      <x:formula>$G46="Review"</x:formula>
    </x:cfRule>
  </x:conditionalFormatting>
  <x:conditionalFormatting sqref="D47:G47">
    <x:cfRule type="expression" dxfId="31" priority="32">
      <x:formula>$G47="Review"</x:formula>
    </x:cfRule>
  </x:conditionalFormatting>
  <x:conditionalFormatting sqref="D48:G48">
    <x:cfRule type="expression" dxfId="32" priority="33">
      <x:formula>$G48="Review"</x:formula>
    </x:cfRule>
  </x:conditionalFormatting>
  <x:conditionalFormatting sqref="D51:G51">
    <x:cfRule type="expression" dxfId="33" priority="34">
      <x:formula>$G51="Review"</x:formula>
    </x:cfRule>
  </x:conditionalFormatting>
  <x:conditionalFormatting sqref="D52:G52">
    <x:cfRule type="expression" dxfId="34" priority="35">
      <x:formula>$G52="Review"</x:formula>
    </x:cfRule>
  </x:conditionalFormatting>
  <x:conditionalFormatting sqref="D53:G53">
    <x:cfRule type="expression" dxfId="35" priority="36">
      <x:formula>$G53="Review"</x:formula>
    </x:cfRule>
  </x:conditionalFormatting>
  <x:conditionalFormatting sqref="D56:G56">
    <x:cfRule type="expression" dxfId="36" priority="37">
      <x:formula>$G56="Review"</x:formula>
    </x:cfRule>
  </x:conditionalFormatting>
  <x:conditionalFormatting sqref="D57:G57">
    <x:cfRule type="expression" dxfId="37" priority="38">
      <x:formula>$G57="Review"</x:formula>
    </x:cfRule>
  </x:conditionalFormatting>
  <x:conditionalFormatting sqref="D58:G58">
    <x:cfRule type="expression" dxfId="38" priority="39">
      <x:formula>$G58="Review"</x:formula>
    </x:cfRule>
  </x:conditionalFormatting>
  <x:dataValidations count="39">
    <x:dataValidation type="custom" errorStyle="stop" showErrorMessage="1" errorTitle="Review this assumption" error="Enter a numeric value within its documented limits on Model controls. Complete whole-year and area checks where applicable." sqref="D8">
      <x:formula1>IF(AND(ISNUMBER(D8),ISNUMBER(CRE_Input8_Min)),D8&gt;CRE_Input8_Min,FALSE)</x:formula1>
    </x:dataValidation>
    <x:dataValidation type="custom" errorStyle="stop" showErrorMessage="1" errorTitle="Review this assumption" error="Enter a numeric value within its documented limits on Model controls. Complete whole-year and area checks where applicable." sqref="D9">
      <x:formula1>IF(AND(ISNUMBER(D9),ISNUMBER(CRE_Input9_Min)),AND(D9&gt;CRE_Input9_Min,IF(ISNUMBER(D8),D9&gt;=D8,FALSE)),FALSE)</x:formula1>
    </x:dataValidation>
    <x:dataValidation type="custom" errorStyle="stop" showErrorMessage="1" errorTitle="Review this assumption" error="Enter a numeric value within its documented limits on Model controls. Complete whole-year and area checks where applicable." sqref="D10">
      <x:formula1>IF(AND(ISNUMBER(D10),ISNUMBER(CRE_Input10_Min)),D10&gt;CRE_Input10_Min,FALSE)</x:formula1>
    </x:dataValidation>
    <x:dataValidation type="custom" errorStyle="stop" showErrorMessage="1" errorTitle="Review this assumption" error="Enter a numeric value within its documented limits on Model controls. Complete whole-year and area checks where applicable." sqref="D11">
      <x:formula1>IF(AND(ISNUMBER(D11),ISNUMBER(CRE_Input11_Min)),D11&gt;=CRE_Input11_Min,FALSE)</x:formula1>
    </x:dataValidation>
    <x:dataValidation type="custom" errorStyle="stop" showErrorMessage="1" errorTitle="Review this assumption" error="Enter a numeric value within its documented limits on Model controls. Complete whole-year and area checks where applicable." sqref="D12">
      <x:formula1>IF(AND(ISNUMBER(D12),ISNUMBER(CRE_Input12_Min)),D12&gt;=CRE_Input12_Min,FALSE)</x:formula1>
    </x:dataValidation>
    <x:dataValidation type="custom" errorStyle="stop" showErrorMessage="1" errorTitle="Review this assumption" error="Enter a numeric value within its documented limits on Model controls. Complete whole-year and area checks where applicable." sqref="D15">
      <x:formula1>IF(AND(ISNUMBER(D15),ISNUMBER(CRE_Input15_Min)),D15&gt;=CRE_Input15_Min,FALSE)</x:formula1>
    </x:dataValidation>
    <x:dataValidation type="custom" errorStyle="stop" showErrorMessage="1" errorTitle="Review this assumption" error="Enter a numeric value within its documented limits on Model controls. Complete whole-year and area checks where applicable." sqref="D16">
      <x:formula1>IF(AND(ISNUMBER(D16),ISNUMBER(CRE_Input16_Min),ISNUMBER(CRE_Input16_Max)),AND(D16&gt;=CRE_Input16_Min,D16&lt;=CRE_Input16_Max),FALSE)</x:formula1>
    </x:dataValidation>
    <x:dataValidation type="custom" errorStyle="stop" showErrorMessage="1" errorTitle="Review this assumption" error="Enter a numeric value within its documented limits on Model controls. Complete whole-year and area checks where applicable." sqref="D17">
      <x:formula1>IF(AND(ISNUMBER(D17),ISNUMBER(CRE_Input17_Min)),D17&gt;=CRE_Input17_Min,FALSE)</x:formula1>
    </x:dataValidation>
    <x:dataValidation type="custom" errorStyle="stop" showErrorMessage="1" errorTitle="Review this assumption" error="Enter a numeric value within its documented limits on Model controls. Complete whole-year and area checks where applicable." sqref="D18">
      <x:formula1>IF(AND(ISNUMBER(D18),ISNUMBER(CRE_Input18_Min)),D18&gt;=CRE_Input18_Min,FALSE)</x:formula1>
    </x:dataValidation>
    <x:dataValidation type="custom" errorStyle="stop" showErrorMessage="1" errorTitle="Review this assumption" error="Enter a numeric value within its documented limits on Model controls. Complete whole-year and area checks where applicable." sqref="D19">
      <x:formula1>IF(AND(ISNUMBER(D19),ISNUMBER(CRE_Input19_Min)),D19&gt;=CRE_Input19_Min,FALSE)</x:formula1>
    </x:dataValidation>
    <x:dataValidation type="custom" errorStyle="stop" showErrorMessage="1" errorTitle="Review this assumption" error="Enter a numeric value within its documented limits on Model controls. Complete whole-year and area checks where applicable." sqref="D20">
      <x:formula1>IF(AND(ISNUMBER(D20),ISNUMBER(CRE_Input20_Min),ISNUMBER(CRE_Input20_Max)),AND(D20&gt;=CRE_Input20_Min,D20&lt;CRE_Input20_Max),FALSE)</x:formula1>
    </x:dataValidation>
    <x:dataValidation type="custom" errorStyle="stop" showErrorMessage="1" errorTitle="Review this assumption" error="Enter a numeric value within its documented limits on Model controls. Complete whole-year and area checks where applicable." sqref="D21">
      <x:formula1>IF(AND(ISNUMBER(D21),ISNUMBER(CRE_Input21_Min)),D21&gt;=CRE_Input21_Min,FALSE)</x:formula1>
    </x:dataValidation>
    <x:dataValidation type="custom" errorStyle="stop" showErrorMessage="1" errorTitle="Review this assumption" error="Enter a numeric value within its documented limits on Model controls. Complete whole-year and area checks where applicable." sqref="D24">
      <x:formula1>IF(AND(ISNUMBER(D24),ISNUMBER(CRE_Input24_Min)),D24&gt;=CRE_Input24_Min,FALSE)</x:formula1>
    </x:dataValidation>
    <x:dataValidation type="custom" errorStyle="stop" showErrorMessage="1" errorTitle="Review this assumption" error="Enter a numeric value within its documented limits on Model controls. Complete whole-year and area checks where applicable." sqref="D25">
      <x:formula1>IF(AND(ISNUMBER(D25),ISNUMBER(CRE_Input25_Min)),D25&gt;=CRE_Input25_Min,FALSE)</x:formula1>
    </x:dataValidation>
    <x:dataValidation type="custom" errorStyle="stop" showErrorMessage="1" errorTitle="Review this assumption" error="Enter a numeric value within its documented limits on Model controls. Complete whole-year and area checks where applicable." sqref="D26">
      <x:formula1>IF(AND(ISNUMBER(D26),ISNUMBER(CRE_Input26_Min)),D26&gt;=CRE_Input26_Min,FALSE)</x:formula1>
    </x:dataValidation>
    <x:dataValidation type="custom" errorStyle="stop" showErrorMessage="1" errorTitle="Review this assumption" error="Enter a numeric value within its documented limits on Model controls. Complete whole-year and area checks where applicable." sqref="D27">
      <x:formula1>IF(AND(ISNUMBER(D27),ISNUMBER(CRE_Input27_Min)),D27&gt;=CRE_Input27_Min,FALSE)</x:formula1>
    </x:dataValidation>
    <x:dataValidation type="custom" errorStyle="stop" showErrorMessage="1" errorTitle="Review this assumption" error="Enter a numeric value within its documented limits on Model controls. Complete whole-year and area checks where applicable." sqref="D28">
      <x:formula1>IF(AND(ISNUMBER(D28),ISNUMBER(CRE_Input28_Min)),D28&gt;=CRE_Input28_Min,FALSE)</x:formula1>
    </x:dataValidation>
    <x:dataValidation type="custom" errorStyle="stop" showErrorMessage="1" errorTitle="Review this assumption" error="Enter a numeric value within its documented limits on Model controls. Complete whole-year and area checks where applicable." sqref="D29">
      <x:formula1>IF(AND(ISNUMBER(D29),ISNUMBER(CRE_Input29_Min)),D29&gt;=CRE_Input29_Min,FALSE)</x:formula1>
    </x:dataValidation>
    <x:dataValidation type="custom" errorStyle="stop" showErrorMessage="1" errorTitle="Review this assumption" error="Enter a numeric value within its documented limits on Model controls. Complete whole-year and area checks where applicable." sqref="D30">
      <x:formula1>IF(AND(ISNUMBER(D30),ISNUMBER(CRE_Input30_Min)),AND(D30&gt;=CRE_Input30_Min,D30=INT(D30)),FALSE)</x:formula1>
    </x:dataValidation>
    <x:dataValidation type="custom" errorStyle="stop" showErrorMessage="1" errorTitle="Review this assumption" error="Enter a numeric value within its documented limits on Model controls. Complete whole-year and area checks where applicable." sqref="D31">
      <x:formula1>IF(AND(ISNUMBER(D31),ISNUMBER(CRE_Input31_Min)),D31&gt;=CRE_Input31_Min,FALSE)</x:formula1>
    </x:dataValidation>
    <x:dataValidation type="custom" errorStyle="stop" showErrorMessage="1" errorTitle="Review this assumption" error="Enter a numeric value within its documented limits on Model controls. Complete whole-year and area checks where applicable." sqref="D32">
      <x:formula1>IF(AND(ISNUMBER(D32),ISNUMBER(CRE_Input32_Min)),D32&gt;=CRE_Input32_Min,FALSE)</x:formula1>
    </x:dataValidation>
    <x:dataValidation type="custom" errorStyle="stop" showErrorMessage="1" errorTitle="Review this assumption" error="Enter a numeric value within its documented limits on Model controls. Complete whole-year and area checks where applicable." sqref="D33">
      <x:formula1>IF(AND(ISNUMBER(D33),ISNUMBER(CRE_Input33_Min)),D33&gt;=CRE_Input33_Min,FALSE)</x:formula1>
    </x:dataValidation>
    <x:dataValidation type="custom" errorStyle="stop" showErrorMessage="1" errorTitle="Review this assumption" error="Enter a numeric value within its documented limits on Model controls. Complete whole-year and area checks where applicable." sqref="D36">
      <x:formula1>IF(AND(ISNUMBER(D36),ISNUMBER(CRE_Input36_Min)),D36&gt;CRE_Input36_Min,FALSE)</x:formula1>
    </x:dataValidation>
    <x:dataValidation type="custom" errorStyle="stop" showErrorMessage="1" errorTitle="Review this assumption" error="Enter a numeric value within its documented limits on Model controls. Complete whole-year and area checks where applicable." sqref="D37">
      <x:formula1>IF(AND(ISNUMBER(D37),ISNUMBER(CRE_Input37_Min),ISNUMBER(CRE_Input37_Max)),AND(D37&gt;=CRE_Input37_Min,D37&lt;CRE_Input37_Max),FALSE)</x:formula1>
    </x:dataValidation>
    <x:dataValidation type="custom" errorStyle="stop" showErrorMessage="1" errorTitle="Review this assumption" error="Enter a numeric value within its documented limits on Model controls. Complete whole-year and area checks where applicable." sqref="D38">
      <x:formula1>IF(AND(ISNUMBER(D38),ISNUMBER(CRE_Input38_Min)),D38&gt;CRE_Input38_Min,FALSE)</x:formula1>
    </x:dataValidation>
    <x:dataValidation type="custom" errorStyle="stop" showErrorMessage="1" errorTitle="Review this assumption" error="Enter a numeric value within its documented limits on Model controls. Complete whole-year and area checks where applicable." sqref="D39">
      <x:formula1>IF(AND(ISNUMBER(D39),ISNUMBER(CRE_Input39_Min)),D39&gt;=CRE_Input39_Min,FALSE)</x:formula1>
    </x:dataValidation>
    <x:dataValidation type="custom" errorStyle="stop" showErrorMessage="1" errorTitle="Review this assumption" error="Enter a numeric value within its documented limits on Model controls. Complete whole-year and area checks where applicable." sqref="D42">
      <x:formula1>IF(AND(ISNUMBER(D42),ISNUMBER(CRE_Input42_Min)),D42&gt;=CRE_Input42_Min,FALSE)</x:formula1>
    </x:dataValidation>
    <x:dataValidation type="custom" errorStyle="stop" showErrorMessage="1" errorTitle="Review this assumption" error="Enter a numeric value within its documented limits on Model controls. Complete whole-year and area checks where applicable." sqref="D43">
      <x:formula1>IF(AND(ISNUMBER(D43),ISNUMBER(CRE_Input43_Min)),D43&gt;=CRE_Input43_Min,FALSE)</x:formula1>
    </x:dataValidation>
    <x:dataValidation type="custom" errorStyle="stop" showErrorMessage="1" errorTitle="Review this assumption" error="Enter a numeric value within its documented limits on Model controls. Complete whole-year and area checks where applicable." sqref="D44">
      <x:formula1>IF(AND(ISNUMBER(D44),ISNUMBER(CRE_Input44_Min)),AND(D44&gt;=CRE_Input44_Min,D44=INT(D44)),FALSE)</x:formula1>
    </x:dataValidation>
    <x:dataValidation type="custom" errorStyle="stop" showErrorMessage="1" errorTitle="Review this assumption" error="Enter a numeric value within its documented limits on Model controls. Complete whole-year and area checks where applicable." sqref="D45">
      <x:formula1>IF(AND(ISNUMBER(D45),ISNUMBER(CRE_Input45_Min),ISNUMBER(CRE_Input45_Max)),AND(D45&gt;CRE_Input45_Min,D45&lt;=CRE_Input45_Max),FALSE)</x:formula1>
    </x:dataValidation>
    <x:dataValidation type="custom" errorStyle="stop" showErrorMessage="1" errorTitle="Review this assumption" error="Enter a numeric value within its documented limits on Model controls. Complete whole-year and area checks where applicable." sqref="D46">
      <x:formula1>IF(AND(ISNUMBER(D46),ISNUMBER(CRE_Input46_Min)),D46&gt;CRE_Input46_Min,FALSE)</x:formula1>
    </x:dataValidation>
    <x:dataValidation type="custom" errorStyle="stop" showErrorMessage="1" errorTitle="Review this assumption" error="Enter a numeric value within its documented limits on Model controls. Complete whole-year and area checks where applicable." sqref="D47">
      <x:formula1>IF(AND(ISNUMBER(D47),ISNUMBER(CRE_Input47_Min)),D47&gt;CRE_Input47_Min,FALSE)</x:formula1>
    </x:dataValidation>
    <x:dataValidation type="custom" errorStyle="stop" showErrorMessage="1" errorTitle="Review this assumption" error="Enter a numeric value within its documented limits on Model controls. Complete whole-year and area checks where applicable." sqref="D48">
      <x:formula1>IF(AND(ISNUMBER(D48),ISNUMBER(CRE_Input48_Min),ISNUMBER(CRE_Input48_Max)),AND(D48&gt;=CRE_Input48_Min,D48&lt;CRE_Input48_Max),FALSE)</x:formula1>
    </x:dataValidation>
    <x:dataValidation type="custom" errorStyle="stop" showErrorMessage="1" errorTitle="Review this assumption" error="Enter a numeric value within its documented limits on Model controls. Complete whole-year and area checks where applicable." sqref="D51">
      <x:formula1>IF(AND(ISNUMBER(D51),ISNUMBER(CRE_Input51_Min)),AND(D51&gt;=CRE_Input51_Min,D51=INT(D51)),FALSE)</x:formula1>
    </x:dataValidation>
    <x:dataValidation type="custom" errorStyle="stop" showErrorMessage="1" errorTitle="Review this assumption" error="Enter a numeric value within its documented limits on Model controls. Complete whole-year and area checks where applicable." sqref="D52">
      <x:formula1>IF(AND(ISNUMBER(D52),ISNUMBER(CRE_Input52_Min)),D52&gt;=CRE_Input52_Min,FALSE)</x:formula1>
    </x:dataValidation>
    <x:dataValidation type="custom" errorStyle="stop" showErrorMessage="1" errorTitle="Review this assumption" error="Enter a numeric value within its documented limits on Model controls. Complete whole-year and area checks where applicable." sqref="D53">
      <x:formula1>IF(AND(ISNUMBER(D53),ISNUMBER(CRE_Input53_Min)),D53&gt;=CRE_Input53_Min,FALSE)</x:formula1>
    </x:dataValidation>
    <x:dataValidation type="custom" errorStyle="stop" showErrorMessage="1" errorTitle="Review this assumption" error="Enter a numeric value within its documented limits on Model controls. Complete whole-year and area checks where applicable." sqref="D56">
      <x:formula1>IF(AND(ISNUMBER(D56),ISNUMBER(CRE_Input56_Min)),D56&gt;CRE_Input56_Min,FALSE)</x:formula1>
    </x:dataValidation>
    <x:dataValidation type="custom" errorStyle="stop" showErrorMessage="1" errorTitle="Review this assumption" error="Enter a numeric value within its documented limits on Model controls. Complete whole-year and area checks where applicable." sqref="D57">
      <x:formula1>IF(AND(ISNUMBER(D57),ISNUMBER(CRE_Input57_Min)),D57&gt;CRE_Input57_Min,FALSE)</x:formula1>
    </x:dataValidation>
    <x:dataValidation type="custom" errorStyle="stop" showErrorMessage="1" errorTitle="Review this assumption" error="Enter a numeric value within its documented limits on Model controls. Complete whole-year and area checks where applicable." sqref="D58">
      <x:formula1>IF(AND(ISNUMBER(D58),ISNUMBER(CRE_Input58_Min)),D58&gt;CRE_Input58_Min,FALSE)</x:formula1>
    </x:dataValidation>
  </x:dataValidations>
  <x:printOptions horizontalCentered="1" headings="0" gridLines="0"/>
  <x:pageMargins left="0.35" right="0.35" top="0.3" bottom="0.3" header="0.1" footer="0.1"/>
  <x:pageSetup paperSize="1" orientation="landscape" fitToWidth="1" fitToHeight="0"/>
  <x:headerFooter>
    <x:oddFooter>&amp;LFinData Consulting&amp;C&amp;A&amp;R&amp;P / &amp;N</x:oddFooter>
  </x:headerFooter>
  <x:rowBreaks count="3" manualBreakCount="3">
    <x:brk id="22" min="0" max="16383" man="1"/>
    <x:brk id="34" min="0" max="16383" man="1"/>
    <x:brk id="49" min="0" max="16383" man="1"/>
  </x:rowBreaks>
</x:worksheet>
</file>

<file path=xl/worksheets/sheet3.xml><?xml version="1.0" encoding="utf-8"?>
<x:worksheet xmlns:x="http://schemas.openxmlformats.org/spreadsheetml/2006/main">
  <x:sheetPr>
    <x:tabColor rgb="FF1E1B4B"/>
    <x:pageSetUpPr fitToPage="1" autoPageBreaks="0"/>
  </x:sheetPr>
  <x:sheetViews>
    <x:sheetView showGridLines="0" workbookViewId="0">
      <x:pane ySplit="6" topLeftCell="A7" activePane="bottomLeft" state="frozen"/>
    </x:sheetView>
  </x:sheetViews>
  <x:sheetFormatPr defaultRowHeight="15"/>
  <x:cols>
    <x:col min="1" max="1" width="1.1100000143051147" hidden="0" customWidth="1"/>
    <x:col min="2" max="2" width="1.1100000143051147" hidden="0" customWidth="1"/>
    <x:col min="3" max="3" width="35" hidden="0" customWidth="1"/>
    <x:col min="4" max="4" width="16.110000610351562" hidden="0" customWidth="1"/>
    <x:col min="5" max="5" width="2" hidden="0" customWidth="1"/>
    <x:col min="6" max="6" width="41.66999816894531" hidden="0" customWidth="1"/>
    <x:col min="7" max="7" width="11.109999656677246" hidden="0" customWidth="1"/>
  </x:cols>
  <x:sheetData>
    <x:row r="1" ht="8" customHeight="1">
      <x:c r="A1" s="4"/>
      <x:c r="B1" s="4"/>
      <x:c r="C1" s="4"/>
      <x:c r="D1" s="4"/>
      <x:c r="E1" s="4"/>
      <x:c r="F1" s="4"/>
      <x:c r="G1" s="4"/>
    </x:row>
    <x:row r="2" ht="32" customHeight="1">
      <x:c r="A2" s="4"/>
      <x:c r="B2" s="4"/>
      <x:c r="C2" s="8" t="str">
        <x:v>Development feasibility</x:v>
      </x:c>
      <x:c r="D2" s="8"/>
      <x:c r="E2" s="8"/>
      <x:c r="F2" s="8"/>
      <x:c r="G2" s="8"/>
    </x:row>
    <x:row r="3" ht="30" customHeight="1">
      <x:c r="A3" s="4"/>
      <x:c r="B3" s="4"/>
      <x:c r="C3" s="6" t="str">
        <x:v>02  /  Stabilized economics, total cost, land capacity and required rent. All currency in USD.</x:v>
      </x:c>
      <x:c r="D3" s="6"/>
      <x:c r="E3" s="6"/>
      <x:c r="F3" s="6"/>
      <x:c r="G3" s="6"/>
    </x:row>
    <x:row r="4" ht="10" customHeight="1">
      <x:c r="A4" s="4"/>
      <x:c r="B4" s="4"/>
      <x:c r="C4" s="4"/>
      <x:c r="D4" s="4"/>
      <x:c r="E4" s="4"/>
      <x:c r="F4" s="4"/>
      <x:c r="G4" s="4"/>
    </x:row>
    <x:row r="5" ht="9" customHeight="1">
      <x:c r="A5" s="4"/>
      <x:c r="B5" s="4"/>
      <x:c r="C5" s="7"/>
      <x:c r="D5" s="7"/>
      <x:c r="E5" s="7"/>
      <x:c r="F5" s="7"/>
      <x:c r="G5" s="7"/>
    </x:row>
    <x:row r="6" ht="9" customHeight="1">
      <x:c r="A6" s="4"/>
      <x:c r="B6" s="4"/>
      <x:c r="C6" s="4"/>
      <x:c r="D6" s="4"/>
      <x:c r="E6" s="4"/>
      <x:c r="F6" s="4"/>
      <x:c r="G6" s="4"/>
    </x:row>
    <x:row r="7" ht="25" customHeight="1">
      <x:c r="A7" s="4"/>
      <x:c r="B7" s="4"/>
      <x:c r="C7" s="11" t="str">
        <x:v>TOTAL DEVELOPMENT COST</x:v>
      </x:c>
      <x:c r="D7" s="11"/>
      <x:c r="E7" s="11"/>
      <x:c r="F7" s="11"/>
      <x:c r="G7" s="11"/>
    </x:row>
    <x:row r="8" ht="27" customHeight="1">
      <x:c r="A8" s="4"/>
      <x:c r="B8" s="4"/>
      <x:c r="C8" s="4" t="str">
        <x:v>Land purchase price</x:v>
      </x:c>
      <x:c r="D8" s="63" t="n">
        <x:f>IF('Inputs'!G11="OK",'Inputs'!D11,"n.a.")</x:f>
        <x:v>850000</x:v>
      </x:c>
      <x:c r="E8" s="4"/>
      <x:c r="F8" s="4"/>
      <x:c r="G8" s="4"/>
    </x:row>
    <x:row r="9" ht="27" customHeight="1">
      <x:c r="A9" s="4"/>
      <x:c r="B9" s="4"/>
      <x:c r="C9" s="4" t="str">
        <x:v>Land closing costs</x:v>
      </x:c>
      <x:c r="D9" s="63" t="n">
        <x:f>IF(AND(ISNUMBER(D8),ISNUMBER('Inputs'!D12)),IF('Inputs'!G12="OK",D8*'Inputs'!D12,"n.a."),"n.a.")</x:f>
        <x:v>25500</x:v>
      </x:c>
      <x:c r="E9" s="4"/>
      <x:c r="F9" s="4"/>
      <x:c r="G9" s="4"/>
    </x:row>
    <x:row r="10" ht="27" customHeight="1">
      <x:c r="A10" s="4"/>
      <x:c r="B10" s="4"/>
      <x:c r="C10" s="4" t="str">
        <x:v>Shell construction</x:v>
      </x:c>
      <x:c r="D10" s="63" t="n">
        <x:f>IF(AND('Inputs'!G9="OK",'Inputs'!G24="OK"),'Inputs'!D9*'Inputs'!D24,"n.a.")</x:f>
        <x:v>3410000</x:v>
      </x:c>
      <x:c r="E10" s="4"/>
      <x:c r="F10" s="4"/>
      <x:c r="G10" s="4"/>
    </x:row>
    <x:row r="11" ht="27" customHeight="1">
      <x:c r="A11" s="4"/>
      <x:c r="B11" s="4"/>
      <x:c r="C11" s="4" t="str">
        <x:v>Site &amp; infrastructure</x:v>
      </x:c>
      <x:c r="D11" s="63" t="n">
        <x:f>IF('Inputs'!G25="OK",'Inputs'!D25,"n.a.")</x:f>
        <x:v>200000</x:v>
      </x:c>
      <x:c r="E11" s="4"/>
      <x:c r="F11" s="4"/>
      <x:c r="G11" s="4"/>
    </x:row>
    <x:row r="12" ht="27" customHeight="1">
      <x:c r="A12" s="4"/>
      <x:c r="B12" s="4"/>
      <x:c r="C12" s="4" t="str">
        <x:v>Contingency</x:v>
      </x:c>
      <x:c r="D12" s="63" t="n">
        <x:f>IF(AND(ISNUMBER(D10),ISNUMBER(D11),ISNUMBER('Inputs'!D26)),IF('Inputs'!G26="OK",SUM(D10:D11)*'Inputs'!D26,"n.a."),"n.a.")</x:f>
        <x:v>180500</x:v>
      </x:c>
      <x:c r="E12" s="4"/>
      <x:c r="F12" s="4"/>
      <x:c r="G12" s="4"/>
    </x:row>
    <x:row r="13" ht="27" customHeight="1">
      <x:c r="A13" s="4"/>
      <x:c r="B13" s="4"/>
      <x:c r="C13" s="4" t="str">
        <x:v>Soft costs</x:v>
      </x:c>
      <x:c r="D13" s="63" t="n">
        <x:f>IF(AND(ISNUMBER(D10),ISNUMBER(D11),ISNUMBER('Inputs'!D27)),IF('Inputs'!G27="OK",SUM(D10:D11)*'Inputs'!D27,"n.a."),"n.a.")</x:f>
        <x:v>361000</x:v>
      </x:c>
      <x:c r="E13" s="4"/>
      <x:c r="F13" s="4"/>
      <x:c r="G13" s="4"/>
    </x:row>
    <x:row r="14" ht="27" customHeight="1">
      <x:c r="A14" s="4"/>
      <x:c r="B14" s="4"/>
      <x:c r="C14" s="4" t="str">
        <x:v>Initial tenant improvements</x:v>
      </x:c>
      <x:c r="D14" s="63" t="n">
        <x:f>IF(AND('Inputs'!G8="OK",'Inputs'!G16="OK",'Inputs'!G28="OK"),'Inputs'!D8*'Inputs'!D16*'Inputs'!D28,"n.a.")</x:f>
        <x:v>368000</x:v>
      </x:c>
      <x:c r="E14" s="4"/>
      <x:c r="F14" s="4"/>
      <x:c r="G14" s="4"/>
    </x:row>
    <x:row r="15" ht="27" customHeight="1">
      <x:c r="A15" s="4"/>
      <x:c r="B15" s="4"/>
      <x:c r="C15" s="4" t="str">
        <x:v>Initial leasing commissions</x:v>
      </x:c>
      <x:c r="D15" s="63" t="n">
        <x:f>IF(AND('Inputs'!G8="OK",'Inputs'!G16="OK",'Inputs'!G15="OK",'Inputs'!G29="OK",'Inputs'!G30="OK"),'Inputs'!D8*'Inputs'!D16*'Inputs'!D15*'Inputs'!D29*'Inputs'!D30,"n.a.")</x:f>
        <x:v>103040</x:v>
      </x:c>
      <x:c r="E15" s="4"/>
      <x:c r="F15" s="6" t="str">
        <x:v>Moves with rent and occupancy, including in the land sensitivity.</x:v>
      </x:c>
      <x:c r="G15" s="6"/>
    </x:row>
    <x:row r="16" ht="27" customHeight="1">
      <x:c r="A16" s="4"/>
      <x:c r="B16" s="4"/>
      <x:c r="C16" s="4" t="str">
        <x:v>Base financing &amp; carry budget</x:v>
      </x:c>
      <x:c r="D16" s="63" t="n">
        <x:f>IF('Inputs'!G31="OK",'Inputs'!D31,"n.a.")</x:f>
        <x:v>275000</x:v>
      </x:c>
      <x:c r="E16" s="4"/>
      <x:c r="F16" s="4"/>
      <x:c r="G16" s="4"/>
    </x:row>
    <x:row r="17" ht="27" customHeight="1">
      <x:c r="A17" s="4"/>
      <x:c r="B17" s="4"/>
      <x:c r="C17" s="4" t="str">
        <x:v>Lease-up &amp; concession reserve</x:v>
      </x:c>
      <x:c r="D17" s="63" t="n">
        <x:f>IF('Inputs'!G32="OK",'Inputs'!D32,"n.a.")</x:f>
        <x:v>100000</x:v>
      </x:c>
      <x:c r="E17" s="4"/>
      <x:c r="F17" s="4"/>
      <x:c r="G17" s="4"/>
    </x:row>
    <x:row r="18" ht="27" customHeight="1">
      <x:c r="A18" s="4"/>
      <x:c r="B18" s="4"/>
      <x:c r="C18" s="4" t="str">
        <x:v>Developer fee &amp; other costs</x:v>
      </x:c>
      <x:c r="D18" s="63" t="n">
        <x:f>IF('Inputs'!G33="OK",'Inputs'!D33,"n.a.")</x:f>
        <x:v>100000</x:v>
      </x:c>
      <x:c r="E18" s="4"/>
      <x:c r="F18" s="4"/>
      <x:c r="G18" s="4"/>
    </x:row>
    <x:row r="19" ht="27" customHeight="1">
      <x:c r="A19" s="4"/>
      <x:c r="B19" s="4"/>
      <x:c r="C19" s="4" t="str">
        <x:v>Additional delay carry</x:v>
      </x:c>
      <x:c r="D19" s="63" t="n">
        <x:f>IF(AND('Inputs'!G51="OK",'Inputs'!G42="OK",'Inputs'!G52="OK",'Inputs'!G53="OK"),'Inputs'!D51*('Inputs'!D42*'Inputs'!D52/CRE_MonthsPerYear+'Inputs'!D53),"n.a.")</x:f>
        <x:v>0</x:v>
      </x:c>
      <x:c r="E19" s="4"/>
      <x:c r="F19" s="6" t="str">
        <x:v>Simple carry on fixed debt; equity funded. Update payoff if capitalized.</x:v>
      </x:c>
      <x:c r="G19" s="6"/>
    </x:row>
    <x:row r="20" ht="27" customHeight="1">
      <x:c r="A20" s="4"/>
      <x:c r="B20" s="4"/>
      <x:c r="C20" s="69" t="str">
        <x:v>Costs excluding land &amp; land closing</x:v>
      </x:c>
      <x:c r="D20" s="70" t="n">
        <x:f>IF(AND(ISNUMBER(D10),ISNUMBER(D11),ISNUMBER(D12),ISNUMBER(D13),ISNUMBER(D14),ISNUMBER(D15),ISNUMBER(D16),ISNUMBER(D17),ISNUMBER(D18),ISNUMBER(D19)),SUM(D10:D19),"n.a.")</x:f>
        <x:v>5097540</x:v>
      </x:c>
      <x:c r="E20" s="4"/>
      <x:c r="F20" s="4"/>
      <x:c r="G20" s="4"/>
    </x:row>
    <x:row r="21" ht="27" customHeight="1">
      <x:c r="A21" s="4"/>
      <x:c r="B21" s="4"/>
      <x:c r="C21" s="69" t="str">
        <x:v>TOTAL DEVELOPMENT COST</x:v>
      </x:c>
      <x:c r="D21" s="70" t="n">
        <x:f>IF(AND(ISNUMBER(D8),ISNUMBER(D9),ISNUMBER(D20)),SUM(D8:D9,D20),"n.a.")</x:f>
        <x:v>5973040</x:v>
      </x:c>
      <x:c r="E21" s="4"/>
      <x:c r="F21" s="4"/>
      <x:c r="G21" s="4"/>
    </x:row>
    <x:row r="22" ht="27" customHeight="1">
      <x:c r="A22" s="4"/>
      <x:c r="B22" s="4"/>
      <x:c r="C22" s="4" t="str">
        <x:v>Total development cost / rentable SF</x:v>
      </x:c>
      <x:c r="D22" s="72" t="n">
        <x:f>IF(AND(ISNUMBER(D21),ISNUMBER('Inputs'!D8)),IF('Inputs'!G8="OK",D21/'Inputs'!D8,"n.a."),"n.a.")</x:f>
        <x:v>298.652</x:v>
      </x:c>
      <x:c r="E22" s="4"/>
      <x:c r="F22" s="6" t="str">
        <x:v>Total budget divided by net rentable area.</x:v>
      </x:c>
      <x:c r="G22" s="6"/>
    </x:row>
    <x:row r="23" ht="27" customHeight="1">
      <x:c r="A23" s="4"/>
      <x:c r="B23" s="4"/>
      <x:c r="C23" s="4"/>
      <x:c r="D23" s="4"/>
      <x:c r="E23" s="4"/>
      <x:c r="F23" s="4"/>
      <x:c r="G23" s="4"/>
    </x:row>
    <x:row r="24" ht="25" customHeight="1">
      <x:c r="A24" s="4"/>
      <x:c r="B24" s="4"/>
      <x:c r="C24" s="11" t="str">
        <x:v>STABILIZED ANNUAL OPERATIONS</x:v>
      </x:c>
      <x:c r="D24" s="11"/>
      <x:c r="E24" s="11"/>
      <x:c r="F24" s="11"/>
      <x:c r="G24" s="11"/>
    </x:row>
    <x:row r="25" ht="27" customHeight="1">
      <x:c r="A25" s="4"/>
      <x:c r="B25" s="4"/>
      <x:c r="C25" s="4" t="str">
        <x:v>Potential base rent</x:v>
      </x:c>
      <x:c r="D25" s="63" t="n">
        <x:f>IF(AND('Inputs'!G8="OK",'Inputs'!G15="OK"),'Inputs'!D8*'Inputs'!D15,"n.a.")</x:f>
        <x:v>560000</x:v>
      </x:c>
      <x:c r="E25" s="4"/>
      <x:c r="F25" s="4"/>
      <x:c r="G25" s="4"/>
    </x:row>
    <x:row r="26" ht="27" customHeight="1">
      <x:c r="A26" s="4"/>
      <x:c r="B26" s="4"/>
      <x:c r="C26" s="4" t="str">
        <x:v>Less: vacancy / economic loss</x:v>
      </x:c>
      <x:c r="D26" s="63" t="n">
        <x:f>IF(AND(ISNUMBER(D25),ISNUMBER('Inputs'!D16)),IF('Inputs'!G16="OK",-D25*(CRE_One-'Inputs'!D16),"n.a."),"n.a.")</x:f>
        <x:v>-44799.99999999998</x:v>
      </x:c>
      <x:c r="E26" s="4"/>
      <x:c r="F26" s="4"/>
      <x:c r="G26" s="4"/>
    </x:row>
    <x:row r="27" ht="27" customHeight="1">
      <x:c r="A27" s="4"/>
      <x:c r="B27" s="4"/>
      <x:c r="C27" s="4" t="str">
        <x:v>Effective base rent</x:v>
      </x:c>
      <x:c r="D27" s="65" t="n">
        <x:f>IF(AND(ISNUMBER(D25),ISNUMBER(D26)),SUM(D25:D26),"n.a.")</x:f>
        <x:v>515200</x:v>
      </x:c>
      <x:c r="E27" s="4"/>
      <x:c r="F27" s="4"/>
      <x:c r="G27" s="4"/>
    </x:row>
    <x:row r="28" ht="27" customHeight="1">
      <x:c r="A28" s="4"/>
      <x:c r="B28" s="4"/>
      <x:c r="C28" s="4" t="str">
        <x:v>Expense reimbursements</x:v>
      </x:c>
      <x:c r="D28" s="63" t="n">
        <x:f>IF(AND('Inputs'!G8="OK",'Inputs'!G16="OK",'Inputs'!G17="OK"),'Inputs'!D8*'Inputs'!D16*'Inputs'!D17,"n.a.")</x:f>
        <x:v>110400</x:v>
      </x:c>
      <x:c r="E28" s="4"/>
      <x:c r="F28" s="4"/>
      <x:c r="G28" s="4"/>
    </x:row>
    <x:row r="29" ht="27" customHeight="1">
      <x:c r="A29" s="4"/>
      <x:c r="B29" s="4"/>
      <x:c r="C29" s="4" t="str">
        <x:v>Other income</x:v>
      </x:c>
      <x:c r="D29" s="63" t="n">
        <x:f>IF('Inputs'!G18="OK",'Inputs'!D18,"n.a.")</x:f>
        <x:v>12000</x:v>
      </x:c>
      <x:c r="E29" s="4"/>
      <x:c r="F29" s="4"/>
      <x:c r="G29" s="4"/>
    </x:row>
    <x:row r="30" ht="27" customHeight="1">
      <x:c r="A30" s="4"/>
      <x:c r="B30" s="4"/>
      <x:c r="C30" s="69" t="str">
        <x:v>Effective gross income</x:v>
      </x:c>
      <x:c r="D30" s="70" t="n">
        <x:f>IF(AND(ISNUMBER(D27),ISNUMBER(D28),ISNUMBER(D29)),SUM(D27:D29),"n.a.")</x:f>
        <x:v>637600</x:v>
      </x:c>
      <x:c r="E30" s="4"/>
      <x:c r="F30" s="4"/>
      <x:c r="G30" s="4"/>
    </x:row>
    <x:row r="31" ht="27" customHeight="1">
      <x:c r="A31" s="4"/>
      <x:c r="B31" s="4"/>
      <x:c r="C31" s="4" t="str">
        <x:v>Less: operating expenses</x:v>
      </x:c>
      <x:c r="D31" s="63" t="n">
        <x:f>IF(AND('Inputs'!G8="OK",'Inputs'!G19="OK"),-'Inputs'!D8*'Inputs'!D19,"n.a.")</x:f>
        <x:v>-120000</x:v>
      </x:c>
      <x:c r="E31" s="4"/>
      <x:c r="F31" s="4"/>
      <x:c r="G31" s="4"/>
    </x:row>
    <x:row r="32" ht="27" customHeight="1">
      <x:c r="A32" s="4"/>
      <x:c r="B32" s="4"/>
      <x:c r="C32" s="4" t="str">
        <x:v>Less: management fee</x:v>
      </x:c>
      <x:c r="D32" s="63" t="n">
        <x:f>IF(AND(ISNUMBER(D30),ISNUMBER('Inputs'!D20)),IF('Inputs'!G20="OK",-D30*'Inputs'!D20,"n.a."),"n.a.")</x:f>
        <x:v>-19128</x:v>
      </x:c>
      <x:c r="E32" s="4"/>
      <x:c r="F32" s="4"/>
      <x:c r="G32" s="4"/>
    </x:row>
    <x:row r="33" ht="27" customHeight="1">
      <x:c r="A33" s="4"/>
      <x:c r="B33" s="4"/>
      <x:c r="C33" s="69" t="str">
        <x:v>NOI before replacement reserve</x:v>
      </x:c>
      <x:c r="D33" s="70" t="n">
        <x:f>IF(AND(ISNUMBER(D30),ISNUMBER(D31),ISNUMBER(D32)),SUM(D30:D32),"n.a.")</x:f>
        <x:v>498472</x:v>
      </x:c>
      <x:c r="E33" s="4"/>
      <x:c r="F33" s="4"/>
      <x:c r="G33" s="4"/>
    </x:row>
    <x:row r="34" ht="27" customHeight="1">
      <x:c r="A34" s="4"/>
      <x:c r="B34" s="4"/>
      <x:c r="C34" s="4" t="str">
        <x:v>Less: replacement reserve</x:v>
      </x:c>
      <x:c r="D34" s="63" t="n">
        <x:f>IF(AND('Inputs'!G8="OK",'Inputs'!G21="OK"),-'Inputs'!D8*'Inputs'!D21,"n.a.")</x:f>
        <x:v>-5000</x:v>
      </x:c>
      <x:c r="E34" s="4"/>
      <x:c r="F34" s="4"/>
      <x:c r="G34" s="4"/>
    </x:row>
    <x:row r="35" ht="27" customHeight="1">
      <x:c r="A35" s="4"/>
      <x:c r="B35" s="4"/>
      <x:c r="C35" s="69" t="str">
        <x:v>UNDERWRITING NOI</x:v>
      </x:c>
      <x:c r="D35" s="70" t="n">
        <x:f>IF(AND(ISNUMBER(D33),ISNUMBER(D34)),SUM(D33:D34),"n.a.")</x:f>
        <x:v>493472</x:v>
      </x:c>
      <x:c r="E35" s="4"/>
      <x:c r="F35" s="6" t="str">
        <x:v>After reserve; use this same basis for cap rate and lender tests.</x:v>
      </x:c>
      <x:c r="G35" s="6"/>
    </x:row>
    <x:row r="36" ht="27" customHeight="1">
      <x:c r="A36" s="4"/>
      <x:c r="B36" s="4"/>
      <x:c r="C36" s="4"/>
      <x:c r="D36" s="4"/>
      <x:c r="E36" s="4"/>
      <x:c r="F36" s="4"/>
      <x:c r="G36" s="4"/>
    </x:row>
    <x:row r="37" ht="25" customHeight="1">
      <x:c r="A37" s="4"/>
      <x:c r="B37" s="4"/>
      <x:c r="C37" s="11" t="str">
        <x:v>VALUE, YIELD &amp; LAND CAPACITY</x:v>
      </x:c>
      <x:c r="D37" s="11"/>
      <x:c r="E37" s="11"/>
      <x:c r="F37" s="11"/>
      <x:c r="G37" s="11"/>
    </x:row>
    <x:row r="38" ht="27" customHeight="1">
      <x:c r="A38" s="4"/>
      <x:c r="B38" s="4"/>
      <x:c r="C38" s="4" t="str">
        <x:v>Modeled stabilized gross value</x:v>
      </x:c>
      <x:c r="D38" s="63" t="n">
        <x:f>IF(AND(ISNUMBER(D35),ISNUMBER('Inputs'!D36)),IF(AND(D35&gt;CRE_Zero,'Inputs'!G36="OK"),D35/'Inputs'!D36,"n.a."),"n.a.")</x:f>
        <x:v>7310696.296296296</x:v>
      </x:c>
      <x:c r="E38" s="4"/>
      <x:c r="F38" s="6" t="str">
        <x:v>Income-capitalization indication, not an appraisal.</x:v>
      </x:c>
      <x:c r="G38" s="6"/>
    </x:row>
    <x:row r="39" ht="27" customHeight="1">
      <x:c r="A39" s="4"/>
      <x:c r="B39" s="4"/>
      <x:c r="C39" s="4" t="str">
        <x:v>Less: disposition costs</x:v>
      </x:c>
      <x:c r="D39" s="63" t="n">
        <x:f>IF(AND(ISNUMBER(D38),ISNUMBER('Inputs'!D37)),IF('Inputs'!G37="OK",-D38*'Inputs'!D37,"n.a."),"n.a.")</x:f>
        <x:v>-182767.40740740742</x:v>
      </x:c>
      <x:c r="E39" s="4"/>
      <x:c r="F39" s="4"/>
      <x:c r="G39" s="4"/>
    </x:row>
    <x:row r="40" ht="27" customHeight="1">
      <x:c r="A40" s="4"/>
      <x:c r="B40" s="4"/>
      <x:c r="C40" s="69" t="str">
        <x:v>Net value after selling costs</x:v>
      </x:c>
      <x:c r="D40" s="70" t="n">
        <x:f>IF(AND(ISNUMBER(D38),ISNUMBER(D39)),SUM(D38:D39),"n.a.")</x:f>
        <x:v>7127928.888888888</x:v>
      </x:c>
      <x:c r="E40" s="4"/>
      <x:c r="F40" s="4"/>
      <x:c r="G40" s="4"/>
    </x:row>
    <x:row r="41" ht="27" customHeight="1">
      <x:c r="A41" s="4"/>
      <x:c r="B41" s="4"/>
      <x:c r="C41" s="4" t="str">
        <x:v>Net value less development cost</x:v>
      </x:c>
      <x:c r="D41" s="65" t="n">
        <x:f>IF(AND(ISNUMBER(D40),ISNUMBER(D21)),D40-D21,"n.a.")</x:f>
        <x:v>1154888.888888888</x:v>
      </x:c>
      <x:c r="E41" s="4"/>
      <x:c r="F41" s="6" t="str">
        <x:v>Before financing exit fees and income taxes; not realized profit.</x:v>
      </x:c>
      <x:c r="G41" s="6"/>
    </x:row>
    <x:row r="42" ht="27" customHeight="1">
      <x:c r="A42" s="4"/>
      <x:c r="B42" s="4"/>
      <x:c r="C42" s="4" t="str">
        <x:v>Profit on total cost</x:v>
      </x:c>
      <x:c r="D42" s="74" t="n">
        <x:f>IF(AND(ISNUMBER(D41),ISNUMBER(D21)),IF(D21&gt;CRE_Zero,D41/D21,"n.a."),"n.a.")</x:f>
        <x:v>0.19335026868878963</x:v>
      </x:c>
      <x:c r="E42" s="4"/>
      <x:c r="F42" s="6" t="str">
        <x:v>Not a margin on selling price and not an IRR.</x:v>
      </x:c>
      <x:c r="G42" s="6"/>
    </x:row>
    <x:row r="43" ht="27" customHeight="1">
      <x:c r="A43" s="4"/>
      <x:c r="B43" s="4"/>
      <x:c r="C43" s="4" t="str">
        <x:v>Yield on total development cost</x:v>
      </x:c>
      <x:c r="D43" s="74" t="n">
        <x:f>IF(AND(ISNUMBER(D35),ISNUMBER(D21)),IF(D21&gt;CRE_Zero,D35/D21,"n.a."),"n.a.")</x:f>
        <x:v>0.08261655706307006</x:v>
      </x:c>
      <x:c r="E43" s="4"/>
      <x:c r="F43" s="4"/>
      <x:c r="G43" s="4"/>
    </x:row>
    <x:row r="44" ht="27" customHeight="1">
      <x:c r="A44" s="4"/>
      <x:c r="B44" s="4"/>
      <x:c r="C44" s="4" t="str">
        <x:v>Development spread (basis points)</x:v>
      </x:c>
      <x:c r="D44" s="77" t="n">
        <x:f>IF(AND(ISNUMBER(D43),ISNUMBER('Inputs'!D36)),IF('Inputs'!G36="OK",(D43-'Inputs'!D36)*CRE_BpsPerUnit,"n.a."),"n.a.")</x:f>
        <x:v>151.16557063070053</x:v>
      </x:c>
      <x:c r="E44" s="4"/>
      <x:c r="F44" s="6" t="str">
        <x:v>Yield on cost minus valuation cap rate. No universal hurdle assumed.</x:v>
      </x:c>
      <x:c r="G44" s="6"/>
    </x:row>
    <x:row r="45" ht="27" customHeight="1">
      <x:c r="A45" s="4"/>
      <x:c r="B45" s="4"/>
      <x:c r="C45" s="4"/>
      <x:c r="D45" s="4"/>
      <x:c r="E45" s="4"/>
      <x:c r="F45" s="4"/>
      <x:c r="G45" s="4"/>
    </x:row>
    <x:row r="46" ht="27" customHeight="1">
      <x:c r="A46" s="4"/>
      <x:c r="B46" s="4"/>
      <x:c r="C46" s="4" t="str">
        <x:v>Land capacity at target yield</x:v>
      </x:c>
      <x:c r="D46" s="63" t="n">
        <x:f>IF(AND(ISNUMBER(D35),ISNUMBER(D20),ISNUMBER('Inputs'!D38),ISNUMBER('Inputs'!D12)),IF(AND('Inputs'!G38="OK",'Inputs'!G12="OK"),(D35/'Inputs'!D38-D20)/(CRE_One+'Inputs'!D12),"n.a."),"n.a.")</x:f>
        <x:v>687391.2050256993</x:v>
      </x:c>
      <x:c r="E46" s="4"/>
      <x:c r="F46" s="4"/>
      <x:c r="G46" s="4"/>
    </x:row>
    <x:row r="47" ht="27" customHeight="1">
      <x:c r="A47" s="4"/>
      <x:c r="B47" s="4"/>
      <x:c r="C47" s="4" t="str">
        <x:v>Land capacity at target profit</x:v>
      </x:c>
      <x:c r="D47" s="63" t="n">
        <x:f>IF(AND(ISNUMBER(D40),ISNUMBER(D20),ISNUMBER('Inputs'!D39),ISNUMBER('Inputs'!D12)),IF(AND('Inputs'!G39="OK",'Inputs'!G12="OK"),(D40/(CRE_One+'Inputs'!D39)-D20)/(CRE_One+'Inputs'!D12),"n.a."),"n.a.")</x:f>
        <x:v>817864.7968356705</x:v>
      </x:c>
      <x:c r="E47" s="4"/>
      <x:c r="F47" s="4"/>
      <x:c r="G47" s="4"/>
    </x:row>
    <x:row r="48" ht="27" customHeight="1">
      <x:c r="A48" s="4"/>
      <x:c r="B48" s="4"/>
      <x:c r="C48" s="69" t="str">
        <x:v>SUPPORTED LAND BUDGET</x:v>
      </x:c>
      <x:c r="D48" s="70" t="n">
        <x:f>IF(AND(ISNUMBER(D46),ISNUMBER(D47)),MIN(D46:D47),"n.a.")</x:f>
        <x:v>687391.2050256993</x:v>
      </x:c>
      <x:c r="E48" s="4"/>
      <x:c r="F48" s="6" t="str">
        <x:v>Lower of the two capacities. Negative means costs exceed support.</x:v>
      </x:c>
      <x:c r="G48" s="6"/>
    </x:row>
    <x:row r="49" ht="27" customHeight="1">
      <x:c r="A49" s="4"/>
      <x:c r="B49" s="4"/>
      <x:c r="C49" s="69" t="str">
        <x:v>Headroom / (shortfall) to land price</x:v>
      </x:c>
      <x:c r="D49" s="70" t="n">
        <x:f>IF(AND(ISNUMBER(D48),ISNUMBER(D8)),D48-D8,"n.a.")</x:f>
        <x:v>-162608.79497430066</x:v>
      </x:c>
      <x:c r="E49" s="4"/>
      <x:c r="F49" s="4"/>
      <x:c r="G49" s="4"/>
    </x:row>
    <x:row r="50" ht="27" customHeight="1">
      <x:c r="A50" s="4"/>
      <x:c r="B50" s="4"/>
      <x:c r="C50" s="4" t="str">
        <x:v>Supported land budget / acre</x:v>
      </x:c>
      <x:c r="D50" s="63" t="n">
        <x:f>IF(AND(ISNUMBER(D48),ISNUMBER('Inputs'!D10)),IF('Inputs'!G10="OK",D48/'Inputs'!D10,"n.a."),"n.a.")</x:f>
        <x:v>214809.75157053102</x:v>
      </x:c>
      <x:c r="E50" s="4"/>
      <x:c r="F50" s="6" t="str">
        <x:v>Site area does not establish buildability.</x:v>
      </x:c>
      <x:c r="G50" s="6"/>
    </x:row>
    <x:row r="51" ht="27" customHeight="1">
      <x:c r="A51" s="4"/>
      <x:c r="B51" s="4"/>
      <x:c r="C51" s="4"/>
      <x:c r="D51" s="4"/>
      <x:c r="E51" s="4"/>
      <x:c r="F51" s="4"/>
      <x:c r="G51" s="4"/>
    </x:row>
    <x:row r="52" ht="25" customHeight="1">
      <x:c r="A52" s="4"/>
      <x:c r="B52" s="4"/>
      <x:c r="C52" s="11" t="str">
        <x:v>REQUIRED RENT — COMMISSION COST ALSO MOVES</x:v>
      </x:c>
      <x:c r="D52" s="11"/>
      <x:c r="E52" s="11"/>
      <x:c r="F52" s="11"/>
      <x:c r="G52" s="11"/>
    </x:row>
    <x:row r="53" ht="27" customHeight="1">
      <x:c r="A53" s="4"/>
      <x:c r="B53" s="4"/>
      <x:c r="C53" s="4" t="str">
        <x:v>NOI increase per $1 of annual rent</x:v>
      </x:c>
      <x:c r="D53" s="72" t="n">
        <x:f>IF(AND('Inputs'!G8="OK",'Inputs'!G16="OK",'Inputs'!G20="OK"),'Inputs'!D8*'Inputs'!D16*(CRE_One-'Inputs'!D20),"n.a.")</x:f>
        <x:v>17848</x:v>
      </x:c>
      <x:c r="E53" s="4"/>
      <x:c r="F53" s="6" t="str">
        <x:v>Rent-producing area × occupancy × (1 − management rate).</x:v>
      </x:c>
      <x:c r="G53" s="6"/>
    </x:row>
    <x:row r="54" ht="27" customHeight="1">
      <x:c r="A54" s="4"/>
      <x:c r="B54" s="4"/>
      <x:c r="C54" s="4" t="str">
        <x:v>NOI excluding base rent</x:v>
      </x:c>
      <x:c r="D54" s="63" t="n">
        <x:f>IF(AND(ISNUMBER(D28),ISNUMBER(D29),ISNUMBER(D31),ISNUMBER(D34),ISNUMBER('Inputs'!D20)),IF('Inputs'!G20="OK",SUM(D28:D29)*(CRE_One-'Inputs'!D20)+SUM(D31,D34),"n.a."),"n.a.")</x:f>
        <x:v>-6272</x:v>
      </x:c>
      <x:c r="E54" s="4"/>
      <x:c r="F54" s="4"/>
      <x:c r="G54" s="4"/>
    </x:row>
    <x:row r="55" ht="27" customHeight="1">
      <x:c r="A55" s="4"/>
      <x:c r="B55" s="4"/>
      <x:c r="C55" s="4" t="str">
        <x:v>Commission increase per $1 rent</x:v>
      </x:c>
      <x:c r="D55" s="72" t="n">
        <x:f>IF(AND('Inputs'!G8="OK",'Inputs'!G16="OK",'Inputs'!G29="OK",'Inputs'!G30="OK"),'Inputs'!D8*'Inputs'!D16*'Inputs'!D29*'Inputs'!D30,"n.a.")</x:f>
        <x:v>3680</x:v>
      </x:c>
      <x:c r="E55" s="4"/>
      <x:c r="F55" s="6" t="str">
        <x:v>Occupied area × commission rate × initial lease years.</x:v>
      </x:c>
      <x:c r="G55" s="6"/>
    </x:row>
    <x:row r="56" ht="27" customHeight="1">
      <x:c r="A56" s="4"/>
      <x:c r="B56" s="4"/>
      <x:c r="C56" s="4" t="str">
        <x:v>Development cost excluding commission</x:v>
      </x:c>
      <x:c r="D56" s="65" t="n">
        <x:f>IF(AND(ISNUMBER(D21),ISNUMBER(D15)),D21-D15,"n.a.")</x:f>
        <x:v>5870000</x:v>
      </x:c>
      <x:c r="E56" s="4"/>
      <x:c r="F56" s="4"/>
      <x:c r="G56" s="4"/>
    </x:row>
    <x:row r="57" ht="27" customHeight="1">
      <x:c r="A57" s="4"/>
      <x:c r="B57" s="4"/>
      <x:c r="C57" s="4" t="str">
        <x:v>Yield-adjusted rent contribution</x:v>
      </x:c>
      <x:c r="D57" s="72" t="n">
        <x:f>IF(AND(ISNUMBER(D53),ISNUMBER(D55),ISNUMBER('Inputs'!D38)),IF('Inputs'!G38="OK",D53-'Inputs'!D38*D55,"n.a."),"n.a.")</x:f>
        <x:v>17535.2</x:v>
      </x:c>
      <x:c r="E57" s="4"/>
      <x:c r="F57" s="6" t="str">
        <x:v>Must be positive to solve for rent using this method.</x:v>
      </x:c>
      <x:c r="G57" s="6"/>
    </x:row>
    <x:row r="58" ht="27" customHeight="1">
      <x:c r="A58" s="4"/>
      <x:c r="B58" s="4"/>
      <x:c r="C58" s="69" t="str">
        <x:v>REQUIRED ANNUAL BASE RENT / SF</x:v>
      </x:c>
      <x:c r="D58" s="80" t="n">
        <x:f>IF(AND(ISNUMBER(D56),ISNUMBER(D54),ISNUMBER(D57),ISNUMBER('Inputs'!D38)),IF(AND(D57&gt;CRE_Zero,'Inputs'!G38="OK"),MAX(CRE_Zero,('Inputs'!D38*D56-D54)/D57),"n.a."),"n.a.")</x:f>
        <x:v>28.811875541767417</x:v>
      </x:c>
      <x:c r="E58" s="4"/>
      <x:c r="F58" s="6" t="str">
        <x:v>Rent needed to meet target yield, with commission recalculated.</x:v>
      </x:c>
      <x:c r="G58" s="6"/>
    </x:row>
    <x:row r="59" ht="27" customHeight="1">
      <x:c r="A59" s="4"/>
      <x:c r="B59" s="4"/>
      <x:c r="C59" s="4" t="str">
        <x:v>Required increase / (decrease) in rent</x:v>
      </x:c>
      <x:c r="D59" s="72" t="n">
        <x:f>IF(AND(ISNUMBER(D58),ISNUMBER('Inputs'!D15)),IF('Inputs'!G15="OK",D58-'Inputs'!D15,"n.a."),"n.a.")</x:f>
        <x:v>0.8118755417674173</x:v>
      </x:c>
      <x:c r="E59" s="4"/>
      <x:c r="F59" s="6" t="str">
        <x:v>Relative to entered annual base rent per rentable SF.</x:v>
      </x:c>
      <x:c r="G59" s="6"/>
    </x:row>
    <x:row r="60" ht="27" customHeight="1">
      <x:c r="A60" s="4"/>
      <x:c r="B60" s="4"/>
      <x:c r="C60" s="4"/>
      <x:c r="D60" s="4"/>
      <x:c r="E60" s="4"/>
      <x:c r="F60" s="4"/>
      <x:c r="G60" s="4"/>
    </x:row>
    <x:row r="61" ht="27" customHeight="1">
      <x:c r="A61" s="4"/>
      <x:c r="B61" s="4"/>
      <x:c r="C61" s="6" t="str">
        <x:v>Method boundary: one phase and one stabilized rent/occupancy assumption. No monthly draws, absorption schedule, tenant-level rollover, equity waterfall or IRR. Use a detailed cash-flow model for investment approval.</x:v>
      </x:c>
      <x:c r="D61" s="6"/>
      <x:c r="E61" s="6"/>
      <x:c r="F61" s="6"/>
      <x:c r="G61" s="6"/>
    </x:row>
    <x:row r="62" ht="27" customHeight="1">
      <x:c r="A62" s="4"/>
      <x:c r="B62" s="4"/>
      <x:c r="C62" s="6"/>
      <x:c r="D62" s="6"/>
      <x:c r="E62" s="6"/>
      <x:c r="F62" s="6"/>
      <x:c r="G62" s="6"/>
    </x:row>
    <x:row r="63" ht="27" customHeight="1">
      <x:c r="A63" s="4"/>
      <x:c r="B63" s="4"/>
      <x:c r="C63" s="4"/>
      <x:c r="D63" s="4"/>
      <x:c r="E63" s="4"/>
      <x:c r="F63" s="4"/>
      <x:c r="G63" s="4"/>
    </x:row>
    <x:row r="64" ht="27" customHeight="1">
      <x:c r="A64" s="4"/>
      <x:c r="B64" s="4"/>
      <x:c r="C64" s="6" t="str">
        <x:v>Cost basis: permanent refinancing fees reduce refinance proceeds on Debt sizing. They are not included in this development budget or the sale-value profit calculation. Income taxes are excluded.</x:v>
      </x:c>
      <x:c r="D64" s="6"/>
      <x:c r="E64" s="6"/>
      <x:c r="F64" s="6"/>
      <x:c r="G64" s="6"/>
    </x:row>
    <x:row r="65" ht="27" customHeight="1">
      <x:c r="A65" s="4"/>
      <x:c r="B65" s="4"/>
      <x:c r="C65" s="6"/>
      <x:c r="D65" s="6"/>
      <x:c r="E65" s="6"/>
      <x:c r="F65" s="6"/>
      <x:c r="G65" s="6"/>
    </x:row>
  </x:sheetData>
  <x:mergeCells>
    <x:mergeCell ref="C2:G2"/>
    <x:mergeCell ref="C3:G3"/>
    <x:mergeCell ref="C7:G7"/>
    <x:mergeCell ref="F15:G15"/>
    <x:mergeCell ref="F19:G19"/>
    <x:mergeCell ref="F22:G22"/>
    <x:mergeCell ref="C24:G24"/>
    <x:mergeCell ref="F35:G35"/>
    <x:mergeCell ref="C37:G37"/>
    <x:mergeCell ref="F38:G38"/>
    <x:mergeCell ref="F41:G41"/>
    <x:mergeCell ref="F42:G42"/>
    <x:mergeCell ref="F44:G44"/>
    <x:mergeCell ref="F48:G48"/>
    <x:mergeCell ref="F50:G50"/>
    <x:mergeCell ref="C52:G52"/>
    <x:mergeCell ref="F53:G53"/>
    <x:mergeCell ref="F55:G55"/>
    <x:mergeCell ref="F57:G57"/>
    <x:mergeCell ref="F58:G58"/>
    <x:mergeCell ref="F59:G59"/>
    <x:mergeCell ref="C61:G62"/>
    <x:mergeCell ref="C64:G65"/>
  </x:mergeCells>
  <x:printOptions horizontalCentered="1" headings="0" gridLines="0"/>
  <x:pageMargins left="0.35" right="0.35" top="0.3" bottom="0.3" header="0.1" footer="0.1"/>
  <x:pageSetup paperSize="1" orientation="landscape" fitToWidth="1" fitToHeight="0"/>
  <x:headerFooter>
    <x:oddFooter>&amp;LFinData Consulting&amp;C&amp;A&amp;R&amp;P / &amp;N</x:oddFooter>
  </x:headerFooter>
  <x:rowBreaks count="3" manualBreakCount="3">
    <x:brk id="23" min="0" max="16383" man="1"/>
    <x:brk id="36" min="0" max="16383" man="1"/>
    <x:brk id="51" min="0" max="16383" man="1"/>
  </x:rowBreaks>
</x:worksheet>
</file>

<file path=xl/worksheets/sheet4.xml><?xml version="1.0" encoding="utf-8"?>
<x:worksheet xmlns:x="http://schemas.openxmlformats.org/spreadsheetml/2006/main">
  <x:sheetPr>
    <x:tabColor rgb="FF1E1B4B"/>
    <x:pageSetUpPr fitToPage="1" autoPageBreaks="0"/>
  </x:sheetPr>
  <x:sheetViews>
    <x:sheetView showGridLines="0" workbookViewId="0">
      <x:pane ySplit="6" topLeftCell="A7" activePane="bottomLeft" state="frozen"/>
    </x:sheetView>
  </x:sheetViews>
  <x:sheetFormatPr defaultRowHeight="15"/>
  <x:cols>
    <x:col min="1" max="1" width="1.1100000143051147" hidden="0" customWidth="1"/>
    <x:col min="2" max="2" width="1.1100000143051147" hidden="0" customWidth="1"/>
    <x:col min="3" max="3" width="35" hidden="0" customWidth="1"/>
    <x:col min="4" max="4" width="16.110000610351562" hidden="0" customWidth="1"/>
    <x:col min="5" max="5" width="2" hidden="0" customWidth="1"/>
    <x:col min="6" max="6" width="41.66999816894531" hidden="0" customWidth="1"/>
    <x:col min="7" max="7" width="11.109999656677246" hidden="0" customWidth="1"/>
  </x:cols>
  <x:sheetData>
    <x:row r="1" ht="8" customHeight="1">
      <x:c r="A1" s="4"/>
      <x:c r="B1" s="4"/>
      <x:c r="C1" s="4"/>
      <x:c r="D1" s="4"/>
      <x:c r="E1" s="4"/>
      <x:c r="F1" s="4"/>
      <x:c r="G1" s="4"/>
    </x:row>
    <x:row r="2" ht="32" customHeight="1">
      <x:c r="A2" s="4"/>
      <x:c r="B2" s="4"/>
      <x:c r="C2" s="8" t="str">
        <x:v>Permanent financing &amp; refinance</x:v>
      </x:c>
      <x:c r="D2" s="8"/>
      <x:c r="E2" s="8"/>
      <x:c r="F2" s="8"/>
      <x:c r="G2" s="8"/>
    </x:row>
    <x:row r="3" ht="30" customHeight="1">
      <x:c r="A3" s="4"/>
      <x:c r="B3" s="4"/>
      <x:c r="C3" s="6" t="str">
        <x:v>03  /  Size to the lowest entered LTV, DSCR and debt-yield limit. Financing terms require lender confirmation.</x:v>
      </x:c>
      <x:c r="D3" s="6"/>
      <x:c r="E3" s="6"/>
      <x:c r="F3" s="6"/>
      <x:c r="G3" s="6"/>
    </x:row>
    <x:row r="4" ht="10" customHeight="1">
      <x:c r="A4" s="4"/>
      <x:c r="B4" s="4"/>
      <x:c r="C4" s="4"/>
      <x:c r="D4" s="4"/>
      <x:c r="E4" s="4"/>
      <x:c r="F4" s="4"/>
      <x:c r="G4" s="4"/>
    </x:row>
    <x:row r="5" ht="9" customHeight="1">
      <x:c r="A5" s="4"/>
      <x:c r="B5" s="4"/>
      <x:c r="C5" s="7"/>
      <x:c r="D5" s="7"/>
      <x:c r="E5" s="7"/>
      <x:c r="F5" s="7"/>
      <x:c r="G5" s="7"/>
    </x:row>
    <x:row r="6" ht="9" customHeight="1">
      <x:c r="A6" s="4"/>
      <x:c r="B6" s="4"/>
      <x:c r="C6" s="4"/>
      <x:c r="D6" s="4"/>
      <x:c r="E6" s="4"/>
      <x:c r="F6" s="4"/>
      <x:c r="G6" s="4"/>
    </x:row>
    <x:row r="7" ht="25" customHeight="1">
      <x:c r="A7" s="4"/>
      <x:c r="B7" s="4"/>
      <x:c r="C7" s="11" t="str">
        <x:v>DEBT CAPACITY AT STABILIZATION</x:v>
      </x:c>
      <x:c r="D7" s="11"/>
      <x:c r="E7" s="11"/>
      <x:c r="F7" s="11"/>
      <x:c r="G7" s="11"/>
    </x:row>
    <x:row r="8" ht="27" customHeight="1">
      <x:c r="A8" s="4"/>
      <x:c r="B8" s="4"/>
      <x:c r="C8" s="4" t="str">
        <x:v>Underwriting NOI</x:v>
      </x:c>
      <x:c r="D8" s="63" t="n">
        <x:f>'Development'!D35</x:f>
        <x:v>493472</x:v>
      </x:c>
      <x:c r="E8" s="4"/>
      <x:c r="F8" s="6" t="str">
        <x:v>After replacement reserve. Align with lender underwriting.</x:v>
      </x:c>
      <x:c r="G8" s="6"/>
    </x:row>
    <x:row r="9" ht="27" customHeight="1">
      <x:c r="A9" s="4"/>
      <x:c r="B9" s="4"/>
      <x:c r="C9" s="4" t="str">
        <x:v>Modeled stabilized value</x:v>
      </x:c>
      <x:c r="D9" s="63" t="n">
        <x:f>'Development'!D38</x:f>
        <x:v>7310696.296296296</x:v>
      </x:c>
      <x:c r="E9" s="4"/>
      <x:c r="F9" s="4"/>
      <x:c r="G9" s="4"/>
    </x:row>
    <x:row r="10" ht="27" customHeight="1">
      <x:c r="A10" s="4"/>
      <x:c r="B10" s="4"/>
      <x:c r="C10" s="4" t="str">
        <x:v>Annual mortgage constant</x:v>
      </x:c>
      <x:c r="D10" s="74" t="n">
        <x:f>IF(AND('Inputs'!G43="OK",'Inputs'!G44="OK"),IF('Inputs'!D43=CRE_Zero,CRE_One/'Inputs'!D44,-PMT('Inputs'!D43/CRE_MonthsPerYear,'Inputs'!D44*CRE_MonthsPerYear,CRE_One)*CRE_MonthsPerYear),"n.a.")</x:f>
        <x:v>0.08867894133569512</x:v>
      </x:c>
      <x:c r="E10" s="4"/>
      <x:c r="F10" s="6" t="str">
        <x:v>Annual debt service per $1 of loan; monthly amortizing payments.</x:v>
      </x:c>
      <x:c r="G10" s="6"/>
    </x:row>
    <x:row r="11" ht="10" customHeight="1">
      <x:c r="A11" s="4"/>
      <x:c r="B11" s="4"/>
      <x:c r="C11" s="4"/>
      <x:c r="D11" s="4"/>
      <x:c r="E11" s="4"/>
      <x:c r="F11" s="4"/>
      <x:c r="G11" s="4"/>
    </x:row>
    <x:row r="12" ht="27" customHeight="1">
      <x:c r="A12" s="4"/>
      <x:c r="B12" s="4"/>
      <x:c r="C12" s="4" t="str">
        <x:v>LTV-limited loan</x:v>
      </x:c>
      <x:c r="D12" s="63" t="n">
        <x:f>IF(AND(ISNUMBER(D9),ISNUMBER('Inputs'!D45)),IF('Inputs'!G45="OK",MAX(CRE_Zero,D9*'Inputs'!D45),"n.a."),"n.a.")</x:f>
        <x:v>4751952.592592592</x:v>
      </x:c>
      <x:c r="E12" s="4"/>
      <x:c r="F12" s="4"/>
      <x:c r="G12" s="4"/>
    </x:row>
    <x:row r="13" ht="27" customHeight="1">
      <x:c r="A13" s="4"/>
      <x:c r="B13" s="4"/>
      <x:c r="C13" s="4" t="str">
        <x:v>DSCR-limited loan</x:v>
      </x:c>
      <x:c r="D13" s="63" t="n">
        <x:f>IF(AND(ISNUMBER(D8),ISNUMBER(D10),ISNUMBER('Inputs'!D46)),IF(AND(D10&gt;CRE_Zero,'Inputs'!G46="OK"),MAX(CRE_Zero,D8)/'Inputs'!D46/D10,"n.a."),"n.a.")</x:f>
        <x:v>4280541.021761743</x:v>
      </x:c>
      <x:c r="E13" s="4"/>
      <x:c r="F13" s="4"/>
      <x:c r="G13" s="4"/>
    </x:row>
    <x:row r="14" ht="27" customHeight="1">
      <x:c r="A14" s="4"/>
      <x:c r="B14" s="4"/>
      <x:c r="C14" s="4" t="str">
        <x:v>Debt-yield-limited loan</x:v>
      </x:c>
      <x:c r="D14" s="63" t="n">
        <x:f>IF(AND(ISNUMBER(D8),ISNUMBER('Inputs'!D47)),IF('Inputs'!G47="OK",MAX(CRE_Zero,D8)/'Inputs'!D47,"n.a."),"n.a.")</x:f>
        <x:v>4934720</x:v>
      </x:c>
      <x:c r="E14" s="4"/>
      <x:c r="F14" s="4"/>
      <x:c r="G14" s="4"/>
    </x:row>
    <x:row r="15" ht="27" customHeight="1">
      <x:c r="A15" s="4"/>
      <x:c r="B15" s="4"/>
      <x:c r="C15" s="69" t="str">
        <x:v>GROSS PERMANENT DEBT CAPACITY</x:v>
      </x:c>
      <x:c r="D15" s="70" t="n">
        <x:f>IF(AND(ISNUMBER(D12),ISNUMBER(D13),ISNUMBER(D14)),MIN(D12:D14),"n.a.")</x:f>
        <x:v>4280541.021761743</x:v>
      </x:c>
      <x:c r="E15" s="4"/>
      <x:c r="F15" s="4"/>
      <x:c r="G15" s="4"/>
    </x:row>
    <x:row r="16" ht="27" customHeight="1">
      <x:c r="A16" s="4"/>
      <x:c r="B16" s="4"/>
      <x:c r="C16" s="4" t="str">
        <x:v>Binding constraint</x:v>
      </x:c>
      <x:c r="D16" s="81" t="str">
        <x:f>IF(AND(ISNUMBER(D12),ISNUMBER(D13),ISNUMBER(D14),ISNUMBER(D15)),IF((ABS(D12-D15)&lt;CRE_DebtTieTolerance)+(ABS(D13-D15)&lt;CRE_DebtTieTolerance)+(ABS(D14-D15)&lt;CRE_DebtTieTolerance)&gt;CRE_One,"Multiple limits",IF(ABS(D12-D15)&lt;CRE_DebtTieTolerance,"LTV",IF(ABS(D13-D15)&lt;CRE_DebtTieTolerance,"DSCR","Debt yield"))),"n.a.")</x:f>
        <x:v>DSCR</x:v>
      </x:c>
      <x:c r="E16" s="4"/>
      <x:c r="F16" s="6" t="str">
        <x:v>Ties within one cent are shown as multiple limits.</x:v>
      </x:c>
      <x:c r="G16" s="6"/>
    </x:row>
    <x:row r="17" ht="10" customHeight="1">
      <x:c r="A17" s="4"/>
      <x:c r="B17" s="4"/>
      <x:c r="C17" s="4"/>
      <x:c r="D17" s="4"/>
      <x:c r="E17" s="4"/>
      <x:c r="F17" s="4"/>
      <x:c r="G17" s="4"/>
    </x:row>
    <x:row r="18" ht="25" customHeight="1">
      <x:c r="A18" s="4"/>
      <x:c r="B18" s="4"/>
      <x:c r="C18" s="11" t="str">
        <x:v>REFINANCE SOURCES &amp; USES</x:v>
      </x:c>
      <x:c r="D18" s="11"/>
      <x:c r="E18" s="11"/>
      <x:c r="F18" s="11"/>
      <x:c r="G18" s="11"/>
    </x:row>
    <x:row r="19" ht="27" customHeight="1">
      <x:c r="A19" s="4"/>
      <x:c r="B19" s="4"/>
      <x:c r="C19" s="4" t="str">
        <x:v>Gross permanent debt capacity</x:v>
      </x:c>
      <x:c r="D19" s="65" t="n">
        <x:f>D15</x:f>
        <x:v>4280541.021761743</x:v>
      </x:c>
      <x:c r="E19" s="4"/>
      <x:c r="F19" s="4"/>
      <x:c r="G19" s="4"/>
    </x:row>
    <x:row r="20" ht="27" customHeight="1">
      <x:c r="A20" s="4"/>
      <x:c r="B20" s="4"/>
      <x:c r="C20" s="4" t="str">
        <x:v>Less: permanent financing fees</x:v>
      </x:c>
      <x:c r="D20" s="63" t="n">
        <x:f>IF(AND(ISNUMBER(D19),ISNUMBER('Inputs'!D48)),IF('Inputs'!G48="OK",-D19*'Inputs'!D48,"n.a."),"n.a.")</x:f>
        <x:v>-85610.82043523487</x:v>
      </x:c>
      <x:c r="E20" s="4"/>
      <x:c r="F20" s="4"/>
      <x:c r="G20" s="4"/>
    </x:row>
    <x:row r="21" ht="27" customHeight="1">
      <x:c r="A21" s="4"/>
      <x:c r="B21" s="4"/>
      <x:c r="C21" s="69" t="str">
        <x:v>Net permanent loan proceeds</x:v>
      </x:c>
      <x:c r="D21" s="70" t="n">
        <x:f>IF(AND(ISNUMBER(D19),ISNUMBER(D20)),SUM(D19:D20),"n.a.")</x:f>
        <x:v>4194930.201326508</x:v>
      </x:c>
      <x:c r="E21" s="4"/>
      <x:c r="F21" s="4"/>
      <x:c r="G21" s="4"/>
    </x:row>
    <x:row r="22" ht="27" customHeight="1">
      <x:c r="A22" s="4"/>
      <x:c r="B22" s="4"/>
      <x:c r="C22" s="4" t="str">
        <x:v>Construction debt payoff</x:v>
      </x:c>
      <x:c r="D22" s="63" t="n">
        <x:f>IF('Inputs'!G42="OK",'Inputs'!D42,"n.a.")</x:f>
        <x:v>4300000</x:v>
      </x:c>
      <x:c r="E22" s="4"/>
      <x:c r="F22" s="4"/>
      <x:c r="G22" s="4"/>
    </x:row>
    <x:row r="23" ht="27" customHeight="1">
      <x:c r="A23" s="4"/>
      <x:c r="B23" s="4"/>
      <x:c r="C23" s="69" t="str">
        <x:v>CASH REQUIRED AT REFINANCE</x:v>
      </x:c>
      <x:c r="D23" s="84" t="n">
        <x:f>IF(AND(ISNUMBER(D21),ISNUMBER(D22)),MAX(CRE_Zero,D22-D21),"n.a.")</x:f>
        <x:v>105069.79867349193</x:v>
      </x:c>
      <x:c r="E23" s="4"/>
      <x:c r="F23" s="6" t="str">
        <x:v>Additional cash to retire construction debt; excludes other closing uses.</x:v>
      </x:c>
      <x:c r="G23" s="6"/>
    </x:row>
    <x:row r="24" ht="27" customHeight="1">
      <x:c r="A24" s="4"/>
      <x:c r="B24" s="4"/>
      <x:c r="C24" s="4" t="str">
        <x:v>Potential cash released</x:v>
      </x:c>
      <x:c r="D24" s="63" t="n">
        <x:f>IF(AND(ISNUMBER(D21),ISNUMBER(D22)),MAX(CRE_Zero,D21-D22),"n.a.")</x:f>
        <x:v>0</x:v>
      </x:c>
      <x:c r="E24" s="4"/>
      <x:c r="F24" s="6" t="str">
        <x:v>Subject to lender cash-out rules. Not a return on equity.</x:v>
      </x:c>
      <x:c r="G24" s="6"/>
    </x:row>
    <x:row r="25" ht="10" customHeight="1">
      <x:c r="A25" s="4"/>
      <x:c r="B25" s="4"/>
      <x:c r="C25" s="4"/>
      <x:c r="D25" s="4"/>
      <x:c r="E25" s="4"/>
      <x:c r="F25" s="4"/>
      <x:c r="G25" s="4"/>
    </x:row>
    <x:row r="26" ht="25" customHeight="1">
      <x:c r="A26" s="4"/>
      <x:c r="B26" s="4"/>
      <x:c r="C26" s="11" t="str">
        <x:v>COVERAGE AT SIZED DEBT</x:v>
      </x:c>
      <x:c r="D26" s="11"/>
      <x:c r="E26" s="11"/>
      <x:c r="F26" s="11"/>
      <x:c r="G26" s="11"/>
    </x:row>
    <x:row r="27" ht="27" customHeight="1">
      <x:c r="A27" s="4"/>
      <x:c r="B27" s="4"/>
      <x:c r="C27" s="4" t="str">
        <x:v>Annual permanent debt service</x:v>
      </x:c>
      <x:c r="D27" s="65" t="n">
        <x:f>IF(AND(ISNUMBER(D15),ISNUMBER(D10)),D15*D10,"n.a.")</x:f>
        <x:v>379593.84615384607</x:v>
      </x:c>
      <x:c r="E27" s="4"/>
      <x:c r="F27" s="4"/>
      <x:c r="G27" s="4"/>
    </x:row>
    <x:row r="28" ht="27" customHeight="1">
      <x:c r="A28" s="4"/>
      <x:c r="B28" s="4"/>
      <x:c r="C28" s="4" t="str">
        <x:v>Actual DSCR</x:v>
      </x:c>
      <x:c r="D28" s="86" t="n">
        <x:f>IF(AND(ISNUMBER(D8),ISNUMBER(D27)),IF(D27&gt;CRE_Zero,D8/D27,"n.a."),"n.a.")</x:f>
        <x:v>1.3000000000000003</x:v>
      </x:c>
      <x:c r="E28" s="4"/>
      <x:c r="F28" s="4"/>
      <x:c r="G28" s="4"/>
    </x:row>
    <x:row r="29" ht="27" customHeight="1">
      <x:c r="A29" s="4"/>
      <x:c r="B29" s="4"/>
      <x:c r="C29" s="4" t="str">
        <x:v>Actual debt yield</x:v>
      </x:c>
      <x:c r="D29" s="74" t="n">
        <x:f>IF(AND(ISNUMBER(D8),ISNUMBER(D15)),IF(D15&gt;CRE_Zero,D8/D15,"n.a."),"n.a.")</x:f>
        <x:v>0.11528262373640367</x:v>
      </x:c>
      <x:c r="E29" s="4"/>
      <x:c r="F29" s="4"/>
      <x:c r="G29" s="4"/>
    </x:row>
    <x:row r="30" ht="27" customHeight="1">
      <x:c r="A30" s="4"/>
      <x:c r="B30" s="4"/>
      <x:c r="C30" s="4" t="str">
        <x:v>Actual LTV</x:v>
      </x:c>
      <x:c r="D30" s="74" t="n">
        <x:f>IF(AND(ISNUMBER(D15),ISNUMBER(D9)),IF(D9&gt;CRE_Zero,D15/D9,"n.a."),"n.a.")</x:f>
        <x:v>0.5855175551377134</x:v>
      </x:c>
      <x:c r="E30" s="4"/>
      <x:c r="F30" s="4"/>
      <x:c r="G30" s="4"/>
    </x:row>
    <x:row r="31" ht="27" customHeight="1">
      <x:c r="A31" s="4"/>
      <x:c r="B31" s="4"/>
      <x:c r="C31" s="69" t="str">
        <x:v>Annual cash flow after debt service</x:v>
      </x:c>
      <x:c r="D31" s="70" t="n">
        <x:f>IF(AND(ISNUMBER(D8),ISNUMBER(D27)),D8-D27,"n.a.")</x:f>
        <x:v>113878.15384615393</x:v>
      </x:c>
      <x:c r="E31" s="4"/>
      <x:c r="F31" s="6" t="str">
        <x:v>Before taxes and capital outlays beyond the modeled reserve.</x:v>
      </x:c>
      <x:c r="G31" s="6"/>
    </x:row>
    <x:row r="32" ht="10" customHeight="1">
      <x:c r="A32" s="4"/>
      <x:c r="B32" s="4"/>
      <x:c r="C32" s="4"/>
      <x:c r="D32" s="4"/>
      <x:c r="E32" s="4"/>
      <x:c r="F32" s="4"/>
      <x:c r="G32" s="4"/>
    </x:row>
    <x:row r="33" ht="27" customHeight="1">
      <x:c r="A33" s="4"/>
      <x:c r="B33" s="4"/>
      <x:c r="C33" s="4" t="str">
        <x:v>NOI at 100% occupancy: variable part</x:v>
      </x:c>
      <x:c r="D33" s="63" t="n">
        <x:f>IF(AND('Inputs'!G8="OK",'Inputs'!G15="OK",'Inputs'!G17="OK",'Inputs'!G20="OK"),'Inputs'!D8*('Inputs'!D15+'Inputs'!D17)*(CRE_One-'Inputs'!D20),"n.a.")</x:f>
        <x:v>659600</x:v>
      </x:c>
      <x:c r="E33" s="4"/>
      <x:c r="F33" s="6" t="str">
        <x:v>Rent and reimbursements less management; denominator for occupancy.</x:v>
      </x:c>
      <x:c r="G33" s="6"/>
    </x:row>
    <x:row r="34" ht="27" customHeight="1">
      <x:c r="A34" s="4"/>
      <x:c r="B34" s="4"/>
      <x:c r="C34" s="4" t="str">
        <x:v>Fixed expenses less net other income</x:v>
      </x:c>
      <x:c r="D34" s="63" t="n">
        <x:f>IF(AND('Inputs'!G8="OK",'Inputs'!G19="OK",'Inputs'!G21="OK",'Inputs'!G18="OK",'Inputs'!G20="OK"),'Inputs'!D8*('Inputs'!D19+'Inputs'!D21)-'Inputs'!D18*(CRE_One-'Inputs'!D20),"n.a.")</x:f>
        <x:v>113360</x:v>
      </x:c>
      <x:c r="E34" s="4"/>
      <x:c r="F34" s="4"/>
      <x:c r="G34" s="4"/>
    </x:row>
    <x:row r="35" ht="27" customHeight="1">
      <x:c r="A35" s="4"/>
      <x:c r="B35" s="4"/>
      <x:c r="C35" s="4" t="str">
        <x:v>Occupancy to cover debt service</x:v>
      </x:c>
      <x:c r="D35" s="74" t="n">
        <x:f>IF(AND(ISNUMBER(D27),ISNUMBER(D34),ISNUMBER(D33)),IF(D33&gt;CRE_Zero,MAX(CRE_Zero,(D27+D34)/D33),"n.a."),"n.a.")</x:f>
        <x:v>0.7473527079348788</x:v>
      </x:c>
      <x:c r="E35" s="4"/>
      <x:c r="F35" s="6" t="str">
        <x:v>Above 100% means impossible with these rents and expenses.</x:v>
      </x:c>
      <x:c r="G35" s="6"/>
    </x:row>
    <x:row r="36" ht="27" customHeight="1">
      <x:c r="A36" s="4"/>
      <x:c r="B36" s="4"/>
      <x:c r="C36" s="4" t="str">
        <x:v>Occupancy for minimum DSCR</x:v>
      </x:c>
      <x:c r="D36" s="74" t="n">
        <x:f>IF(AND(ISNUMBER(D27),ISNUMBER(D34),ISNUMBER(D33),ISNUMBER('Inputs'!D46)),IF(AND(D33&gt;CRE_Zero,'Inputs'!G46="OK"),MAX(CRE_Zero,(D27*'Inputs'!D46+D34)/D33),"n.a."),"n.a.")</x:f>
        <x:v>0.9199999999999998</x:v>
      </x:c>
      <x:c r="E36" s="4"/>
      <x:c r="F36" s="6" t="str">
        <x:v>Permanent loan capacity is held fixed for this coverage test.</x:v>
      </x:c>
      <x:c r="G36" s="6"/>
    </x:row>
    <x:row r="37" ht="10" customHeight="1">
      <x:c r="A37" s="4"/>
      <x:c r="B37" s="4"/>
      <x:c r="C37" s="4"/>
      <x:c r="D37" s="4"/>
      <x:c r="E37" s="4"/>
      <x:c r="F37" s="4"/>
      <x:c r="G37" s="4"/>
    </x:row>
    <x:row r="38" ht="27" customHeight="1">
      <x:c r="A38" s="4"/>
      <x:c r="B38" s="4"/>
      <x:c r="C38" s="6" t="str">
        <x:v>Lender limits are illustrative inputs, not market standards or a lending commitment. Appraisal, borrower credit, lease terms, stabilization and loan conditions can reduce proceeds. Verify the actual payoff and all refinance closing uses.</x:v>
      </x:c>
      <x:c r="D38" s="6"/>
      <x:c r="E38" s="6"/>
      <x:c r="F38" s="6"/>
      <x:c r="G38" s="6"/>
    </x:row>
    <x:row r="39" ht="27" customHeight="1">
      <x:c r="A39" s="4"/>
      <x:c r="B39" s="4"/>
      <x:c r="C39" s="6"/>
      <x:c r="D39" s="6"/>
      <x:c r="E39" s="6"/>
      <x:c r="F39" s="6"/>
      <x:c r="G39" s="6"/>
    </x:row>
    <x:row r="40" ht="10" customHeight="1">
      <x:c r="A40" s="4"/>
      <x:c r="B40" s="4"/>
      <x:c r="C40" s="4"/>
      <x:c r="D40" s="4"/>
      <x:c r="E40" s="4"/>
      <x:c r="F40" s="4"/>
      <x:c r="G40" s="4"/>
    </x:row>
    <x:row r="41" ht="27" customHeight="1">
      <x:c r="A41" s="4"/>
      <x:c r="B41" s="4"/>
      <x:c r="C41" s="6" t="str">
        <x:v>Delay treatment: extra carry increases development cost and is funded with equity. It does not automatically increase debt payoff. If interest is capitalized, update payoff and the carry assumptions using your detailed draw schedule.</x:v>
      </x:c>
      <x:c r="D41" s="6"/>
      <x:c r="E41" s="6"/>
      <x:c r="F41" s="6"/>
      <x:c r="G41" s="6"/>
    </x:row>
    <x:row r="42" ht="27" customHeight="1">
      <x:c r="A42" s="4"/>
      <x:c r="B42" s="4"/>
      <x:c r="C42" s="6"/>
      <x:c r="D42" s="6"/>
      <x:c r="E42" s="6"/>
      <x:c r="F42" s="6"/>
      <x:c r="G42" s="6"/>
    </x:row>
  </x:sheetData>
  <x:mergeCells>
    <x:mergeCell ref="C2:G2"/>
    <x:mergeCell ref="C3:G3"/>
    <x:mergeCell ref="C7:G7"/>
    <x:mergeCell ref="F8:G8"/>
    <x:mergeCell ref="F10:G10"/>
    <x:mergeCell ref="F16:G16"/>
    <x:mergeCell ref="C18:G18"/>
    <x:mergeCell ref="F23:G23"/>
    <x:mergeCell ref="F24:G24"/>
    <x:mergeCell ref="C26:G26"/>
    <x:mergeCell ref="F31:G31"/>
    <x:mergeCell ref="F33:G33"/>
    <x:mergeCell ref="F35:G35"/>
    <x:mergeCell ref="F36:G36"/>
    <x:mergeCell ref="C38:G39"/>
    <x:mergeCell ref="C41:G42"/>
  </x:mergeCells>
  <x:printOptions horizontalCentered="1" headings="0" gridLines="0"/>
  <x:pageMargins left="0.35" right="0.35" top="0.3" bottom="0.3" header="0.1" footer="0.1"/>
  <x:pageSetup paperSize="1" orientation="landscape" fitToWidth="1" fitToHeight="0"/>
  <x:headerFooter>
    <x:oddFooter>&amp;LFinData Consulting&amp;C&amp;A&amp;R&amp;P / &amp;N</x:oddFooter>
  </x:headerFooter>
  <x:rowBreaks count="1" manualBreakCount="1">
    <x:brk id="25" min="0" max="16383" man="1"/>
  </x:rowBreaks>
</x:worksheet>
</file>

<file path=xl/worksheets/sheet5.xml><?xml version="1.0" encoding="utf-8"?>
<x:worksheet xmlns:x="http://schemas.openxmlformats.org/spreadsheetml/2006/main">
  <x:sheetPr>
    <x:tabColor rgb="FF1E1B4B"/>
    <x:pageSetUpPr fitToPage="1" autoPageBreaks="0"/>
  </x:sheetPr>
  <x:sheetViews>
    <x:sheetView showGridLines="0" workbookViewId="0">
      <x:pane ySplit="6" topLeftCell="A7" activePane="bottomLeft" state="frozen"/>
    </x:sheetView>
  </x:sheetViews>
  <x:sheetFormatPr defaultRowHeight="15"/>
  <x:cols>
    <x:col min="1" max="1" width="1.1100000143051147" hidden="0" customWidth="1"/>
    <x:col min="2" max="2" width="1.1100000143051147" hidden="0" customWidth="1"/>
    <x:col min="3" max="3" width="15" hidden="0" customWidth="1"/>
    <x:col min="4" max="4" width="15.5600004196167" hidden="0" customWidth="1"/>
    <x:col min="5" max="5" width="15.5600004196167" hidden="0" customWidth="1"/>
    <x:col min="6" max="6" width="15.5600004196167" hidden="0" customWidth="1"/>
    <x:col min="7" max="7" width="15.5600004196167" hidden="0" customWidth="1"/>
    <x:col min="8" max="8" width="15.5600004196167" hidden="0" customWidth="1"/>
    <x:col min="9" max="9" width="17.219999313354492" hidden="0" customWidth="1"/>
    <x:col min="10" max="10" width="17.219999313354492" hidden="0" customWidth="1"/>
  </x:cols>
  <x:sheetData>
    <x:row r="1" ht="27" customHeight="1">
      <x:c r="A1" s="4"/>
      <x:c r="B1" s="4"/>
      <x:c r="C1" s="4"/>
      <x:c r="D1" s="4"/>
      <x:c r="E1" s="4"/>
      <x:c r="F1" s="4"/>
      <x:c r="G1" s="4"/>
      <x:c r="H1" s="4"/>
      <x:c r="I1" s="4"/>
      <x:c r="J1" s="4"/>
    </x:row>
    <x:row r="2" ht="27" customHeight="1">
      <x:c r="A2" s="4"/>
      <x:c r="B2" s="4"/>
      <x:c r="C2" s="8" t="str">
        <x:v>Where the decision changes</x:v>
      </x:c>
      <x:c r="D2" s="8"/>
      <x:c r="E2" s="8"/>
      <x:c r="F2" s="8"/>
      <x:c r="G2" s="8"/>
      <x:c r="H2" s="8"/>
      <x:c r="I2" s="8"/>
      <x:c r="J2" s="8"/>
    </x:row>
    <x:row r="3" ht="27" customHeight="1">
      <x:c r="A3" s="4"/>
      <x:c r="B3" s="4"/>
      <x:c r="C3" s="6" t="str">
        <x:v>04  /  Formula-driven tables; center cells match the active model. Blue outlines identify the base case.</x:v>
      </x:c>
      <x:c r="D3" s="6"/>
      <x:c r="E3" s="6"/>
      <x:c r="F3" s="6"/>
      <x:c r="G3" s="6"/>
      <x:c r="H3" s="6"/>
      <x:c r="I3" s="6"/>
      <x:c r="J3" s="6"/>
    </x:row>
    <x:row r="4" ht="27" customHeight="1">
      <x:c r="A4" s="4"/>
      <x:c r="B4" s="4"/>
      <x:c r="C4" s="4"/>
      <x:c r="D4" s="4"/>
      <x:c r="E4" s="4"/>
      <x:c r="F4" s="4"/>
      <x:c r="G4" s="4"/>
      <x:c r="H4" s="4"/>
      <x:c r="I4" s="4"/>
      <x:c r="J4" s="4"/>
    </x:row>
    <x:row r="5" ht="27" customHeight="1">
      <x:c r="A5" s="4"/>
      <x:c r="B5" s="4"/>
      <x:c r="C5" s="7"/>
      <x:c r="D5" s="7"/>
      <x:c r="E5" s="7"/>
      <x:c r="F5" s="7"/>
      <x:c r="G5" s="7"/>
      <x:c r="H5" s="4"/>
      <x:c r="I5" s="4"/>
      <x:c r="J5" s="4"/>
    </x:row>
    <x:row r="6" ht="27" customHeight="1">
      <x:c r="A6" s="4"/>
      <x:c r="B6" s="4"/>
      <x:c r="C6" s="4"/>
      <x:c r="D6" s="4"/>
      <x:c r="E6" s="4"/>
      <x:c r="F6" s="4"/>
      <x:c r="G6" s="4"/>
      <x:c r="H6" s="4"/>
      <x:c r="I6" s="4"/>
      <x:c r="J6" s="4"/>
    </x:row>
    <x:row r="7" ht="25" customHeight="1">
      <x:c r="A7" s="4"/>
      <x:c r="B7" s="4"/>
      <x:c r="C7" s="11" t="str">
        <x:v>SUPPORTED LAND BUDGET  /  ANNUAL RENT × CAP RATE</x:v>
      </x:c>
      <x:c r="D7" s="11"/>
      <x:c r="E7" s="11"/>
      <x:c r="F7" s="11"/>
      <x:c r="G7" s="11"/>
      <x:c r="H7" s="11"/>
      <x:c r="I7" s="11"/>
      <x:c r="J7" s="11"/>
    </x:row>
    <x:row r="8" ht="34" customHeight="1">
      <x:c r="A8" s="4"/>
      <x:c r="B8" s="4"/>
      <x:c r="C8" s="6" t="str">
        <x:v>Holds other inputs fixed. Recalculates NOI and initial leasing commission as rent changes. Negative land capacity is retained.</x:v>
      </x:c>
      <x:c r="D8" s="6"/>
      <x:c r="E8" s="6"/>
      <x:c r="F8" s="6"/>
      <x:c r="G8" s="6"/>
      <x:c r="H8" s="6"/>
      <x:c r="I8" s="6"/>
      <x:c r="J8" s="6"/>
    </x:row>
    <x:row r="9" ht="27" customHeight="1">
      <x:c r="A9" s="4"/>
      <x:c r="B9" s="4"/>
      <x:c r="C9" s="4"/>
      <x:c r="D9" s="4"/>
      <x:c r="E9" s="4"/>
      <x:c r="F9" s="4"/>
      <x:c r="G9" s="4"/>
      <x:c r="H9" s="4"/>
      <x:c r="I9" s="4"/>
      <x:c r="J9" s="4"/>
    </x:row>
    <x:row r="10" ht="34" customHeight="1">
      <x:c r="A10" s="4"/>
      <x:c r="B10" s="4"/>
      <x:c r="C10" s="21" t="str">
        <x:v>Rent / SF ↓   Cap →</x:v>
      </x:c>
      <x:c r="D10" s="89" t="n">
        <x:f>IF(AND('Inputs'!G36="OK",'Inputs'!G57="OK"),'Inputs'!D36+CRE_Offset0*'Inputs'!D57,"n.a.")</x:f>
        <x:v>0.0575</x:v>
      </x:c>
      <x:c r="E10" s="89" t="n">
        <x:f>IF(AND('Inputs'!G36="OK",'Inputs'!G57="OK"),'Inputs'!D36+CRE_Offset1*'Inputs'!D57,"n.a.")</x:f>
        <x:v>0.0625</x:v>
      </x:c>
      <x:c r="F10" s="89" t="n">
        <x:f>IF(AND('Inputs'!G36="OK",'Inputs'!G57="OK"),'Inputs'!D36+CRE_Offset2*'Inputs'!D57,"n.a.")</x:f>
        <x:v>0.0675</x:v>
      </x:c>
      <x:c r="G10" s="89" t="n">
        <x:f>IF(AND('Inputs'!G36="OK",'Inputs'!G57="OK"),'Inputs'!D36+CRE_Offset3*'Inputs'!D57,"n.a.")</x:f>
        <x:v>0.07250000000000001</x:v>
      </x:c>
      <x:c r="H10" s="89" t="n">
        <x:f>IF(AND('Inputs'!G36="OK",'Inputs'!G57="OK"),'Inputs'!D36+CRE_Offset4*'Inputs'!D57,"n.a.")</x:f>
        <x:v>0.0775</x:v>
      </x:c>
      <x:c r="I10" s="21" t="str">
        <x:v>Row NOI</x:v>
      </x:c>
      <x:c r="J10" s="21" t="str">
        <x:v>Row non-land cost</x:v>
      </x:c>
    </x:row>
    <x:row r="11" ht="34" customHeight="1">
      <x:c r="A11" s="4"/>
      <x:c r="B11" s="4"/>
      <x:c r="C11" s="71" t="n">
        <x:f>IF(AND('Inputs'!G15="OK",'Inputs'!G56="OK"),'Inputs'!D15+CRE_Offset0*'Inputs'!D56,"n.a.")</x:f>
        <x:v>24</x:v>
      </x:c>
      <x:c r="D11" s="62" t="n">
        <x:f>IF(AND(ISNUMBER($I11),ISNUMBER($J11),ISNUMBER(D$10),ISNUMBER('Inputs'!D38),ISNUMBER('Inputs'!D37),ISNUMBER('Inputs'!D39),ISNUMBER('Inputs'!D12)),IF(AND(D$10&gt;CRE_Zero,$I11&gt;CRE_Zero,'Inputs'!G38="OK",'Inputs'!G37="OK",'Inputs'!G39="OK",'Inputs'!G12="OK"),(MIN($I11/'Inputs'!D38,$I11/D$10*(CRE_One-'Inputs'!D37)/(CRE_One+'Inputs'!D39))-$J11)/(CRE_One+'Inputs'!D12),"n.a."),"n.a.")</x:f>
        <x:v>-113760.13706453524</x:v>
      </x:c>
      <x:c r="E11" s="62" t="n">
        <x:f>IF(AND(ISNUMBER($I11),ISNUMBER($J11),ISNUMBER(E$10),ISNUMBER('Inputs'!D38),ISNUMBER('Inputs'!D37),ISNUMBER('Inputs'!D39),ISNUMBER('Inputs'!D12)),IF(AND(E$10&gt;CRE_Zero,$I11&gt;CRE_Zero,'Inputs'!G38="OK",'Inputs'!G37="OK",'Inputs'!G39="OK",'Inputs'!G12="OK"),(MIN($I11/'Inputs'!D38,$I11/E$10*(CRE_One-'Inputs'!D37)/(CRE_One+'Inputs'!D39))-$J11)/(CRE_One+'Inputs'!D12),"n.a."),"n.a.")</x:f>
        <x:v>-113760.13706453524</x:v>
      </x:c>
      <x:c r="F11" s="62" t="n">
        <x:f>IF(AND(ISNUMBER($I11),ISNUMBER($J11),ISNUMBER(F$10),ISNUMBER('Inputs'!D38),ISNUMBER('Inputs'!D37),ISNUMBER('Inputs'!D39),ISNUMBER('Inputs'!D12)),IF(AND(F$10&gt;CRE_Zero,$I11&gt;CRE_Zero,'Inputs'!G38="OK",'Inputs'!G37="OK",'Inputs'!G39="OK",'Inputs'!G12="OK"),(MIN($I11/'Inputs'!D38,$I11/F$10*(CRE_One-'Inputs'!D37)/(CRE_One+'Inputs'!D39))-$J11)/(CRE_One+'Inputs'!D12),"n.a."),"n.a.")</x:f>
        <x:v>-113760.13706453524</x:v>
      </x:c>
      <x:c r="G11" s="62" t="n">
        <x:f>IF(AND(ISNUMBER($I11),ISNUMBER($J11),ISNUMBER(G$10),ISNUMBER('Inputs'!D38),ISNUMBER('Inputs'!D37),ISNUMBER('Inputs'!D39),ISNUMBER('Inputs'!D12)),IF(AND(G$10&gt;CRE_Zero,$I11&gt;CRE_Zero,'Inputs'!G38="OK",'Inputs'!G37="OK",'Inputs'!G39="OK",'Inputs'!G12="OK"),(MIN($I11/'Inputs'!D38,$I11/G$10*(CRE_One-'Inputs'!D37)/(CRE_One+'Inputs'!D39))-$J11)/(CRE_One+'Inputs'!D12),"n.a."),"n.a.")</x:f>
        <x:v>-342342.81888182083</x:v>
      </x:c>
      <x:c r="H11" s="62" t="n">
        <x:f>IF(AND(ISNUMBER($I11),ISNUMBER($J11),ISNUMBER(H$10),ISNUMBER('Inputs'!D38),ISNUMBER('Inputs'!D37),ISNUMBER('Inputs'!D39),ISNUMBER('Inputs'!D12)),IF(AND(H$10&gt;CRE_Zero,$I11&gt;CRE_Zero,'Inputs'!G38="OK",'Inputs'!G37="OK",'Inputs'!G39="OK",'Inputs'!G12="OK"),(MIN($I11/'Inputs'!D38,$I11/H$10*(CRE_One-'Inputs'!D37)/(CRE_One+'Inputs'!D39))-$J11)/(CRE_One+'Inputs'!D12),"n.a."),"n.a.")</x:f>
        <x:v>-638628.8756655176</x:v>
      </x:c>
      <x:c r="I11" s="62" t="n">
        <x:f>IF(AND(ISNUMBER(C11),ISNUMBER('Development'!D35),ISNUMBER('Development'!D53),ISNUMBER('Inputs'!D15)),IF(C11&gt;=CRE_Zero,'Development'!D35+(C11-'Inputs'!D15)*'Development'!D53,"n.a."),"n.a.")</x:f>
        <x:v>422080</x:v>
      </x:c>
      <x:c r="J11" s="62" t="n">
        <x:f>IF(AND(ISNUMBER(C11),ISNUMBER('Development'!D20),ISNUMBER('Development'!D55),ISNUMBER('Inputs'!D15)),IF(C11&gt;=CRE_Zero,'Development'!D20+(C11-'Inputs'!D15)*'Development'!D55,"n.a."),"n.a.")</x:f>
        <x:v>5082820</x:v>
      </x:c>
    </x:row>
    <x:row r="12" ht="34" customHeight="1">
      <x:c r="A12" s="4"/>
      <x:c r="B12" s="4"/>
      <x:c r="C12" s="71" t="n">
        <x:f>IF(AND('Inputs'!G15="OK",'Inputs'!G56="OK"),'Inputs'!D15+CRE_Offset1*'Inputs'!D56,"n.a.")</x:f>
        <x:v>26</x:v>
      </x:c>
      <x:c r="D12" s="62" t="n">
        <x:f>IF(AND(ISNUMBER($I12),ISNUMBER($J12),ISNUMBER(D$10),ISNUMBER('Inputs'!D38),ISNUMBER('Inputs'!D37),ISNUMBER('Inputs'!D39),ISNUMBER('Inputs'!D12)),IF(AND(D$10&gt;CRE_Zero,$I12&gt;CRE_Zero,'Inputs'!G38="OK",'Inputs'!G37="OK",'Inputs'!G39="OK",'Inputs'!G12="OK"),(MIN($I12/'Inputs'!D38,$I12/D$10*(CRE_One-'Inputs'!D37)/(CRE_One+'Inputs'!D39))-$J12)/(CRE_One+'Inputs'!D12),"n.a."),"n.a.")</x:f>
        <x:v>286815.5339805825</x:v>
      </x:c>
      <x:c r="E12" s="62" t="n">
        <x:f>IF(AND(ISNUMBER($I12),ISNUMBER($J12),ISNUMBER(E$10),ISNUMBER('Inputs'!D38),ISNUMBER('Inputs'!D37),ISNUMBER('Inputs'!D39),ISNUMBER('Inputs'!D12)),IF(AND(E$10&gt;CRE_Zero,$I12&gt;CRE_Zero,'Inputs'!G38="OK",'Inputs'!G37="OK",'Inputs'!G39="OK",'Inputs'!G12="OK"),(MIN($I12/'Inputs'!D38,$I12/E$10*(CRE_One-'Inputs'!D37)/(CRE_One+'Inputs'!D39))-$J12)/(CRE_One+'Inputs'!D12),"n.a."),"n.a.")</x:f>
        <x:v>286815.5339805825</x:v>
      </x:c>
      <x:c r="F12" s="62" t="n">
        <x:f>IF(AND(ISNUMBER($I12),ISNUMBER($J12),ISNUMBER(F$10),ISNUMBER('Inputs'!D38),ISNUMBER('Inputs'!D37),ISNUMBER('Inputs'!D39),ISNUMBER('Inputs'!D12)),IF(AND(F$10&gt;CRE_Zero,$I12&gt;CRE_Zero,'Inputs'!G38="OK",'Inputs'!G37="OK",'Inputs'!G39="OK",'Inputs'!G12="OK"),(MIN($I12/'Inputs'!D38,$I12/F$10*(CRE_One-'Inputs'!D37)/(CRE_One+'Inputs'!D39))-$J12)/(CRE_One+'Inputs'!D12),"n.a."),"n.a.")</x:f>
        <x:v>286815.5339805825</x:v>
      </x:c>
      <x:c r="G12" s="62" t="n">
        <x:f>IF(AND(ISNUMBER($I12),ISNUMBER($J12),ISNUMBER(G$10),ISNUMBER('Inputs'!D38),ISNUMBER('Inputs'!D37),ISNUMBER('Inputs'!D39),ISNUMBER('Inputs'!D12)),IF(AND(G$10&gt;CRE_Zero,$I12&gt;CRE_Zero,'Inputs'!G38="OK",'Inputs'!G37="OK",'Inputs'!G39="OK",'Inputs'!G12="OK"),(MIN($I12/'Inputs'!D38,$I12/G$10*(CRE_One-'Inputs'!D37)/(CRE_One+'Inputs'!D39))-$J12)/(CRE_One+'Inputs'!D12),"n.a."),"n.a.")</x:f>
        <x:v>38901.238701037735</x:v>
      </x:c>
      <x:c r="H12" s="62" t="n">
        <x:f>IF(AND(ISNUMBER($I12),ISNUMBER($J12),ISNUMBER(H$10),ISNUMBER('Inputs'!D38),ISNUMBER('Inputs'!D37),ISNUMBER('Inputs'!D39),ISNUMBER('Inputs'!D12)),IF(AND(H$10&gt;CRE_Zero,$I12&gt;CRE_Zero,'Inputs'!G38="OK",'Inputs'!G37="OK",'Inputs'!G39="OK",'Inputs'!G12="OK"),(MIN($I12/'Inputs'!D38,$I12/H$10*(CRE_One-'Inputs'!D37)/(CRE_One+'Inputs'!D39))-$J12)/(CRE_One+'Inputs'!D12),"n.a."),"n.a.")</x:f>
        <x:v>-282442.2173504546</x:v>
      </x:c>
      <x:c r="I12" s="62" t="n">
        <x:f>IF(AND(ISNUMBER(C12),ISNUMBER('Development'!D35),ISNUMBER('Development'!D53),ISNUMBER('Inputs'!D15)),IF(C12&gt;=CRE_Zero,'Development'!D35+(C12-'Inputs'!D15)*'Development'!D53,"n.a."),"n.a.")</x:f>
        <x:v>457776</x:v>
      </x:c>
      <x:c r="J12" s="62" t="n">
        <x:f>IF(AND(ISNUMBER(C12),ISNUMBER('Development'!D20),ISNUMBER('Development'!D55),ISNUMBER('Inputs'!D15)),IF(C12&gt;=CRE_Zero,'Development'!D20+(C12-'Inputs'!D15)*'Development'!D55,"n.a."),"n.a.")</x:f>
        <x:v>5090180</x:v>
      </x:c>
    </x:row>
    <x:row r="13" ht="34" customHeight="1">
      <x:c r="A13" s="4"/>
      <x:c r="B13" s="4"/>
      <x:c r="C13" s="71" t="n">
        <x:f>IF(AND('Inputs'!G15="OK",'Inputs'!G56="OK"),'Inputs'!D15+CRE_Offset2*'Inputs'!D56,"n.a.")</x:f>
        <x:v>28</x:v>
      </x:c>
      <x:c r="D13" s="62" t="n">
        <x:f>IF(AND(ISNUMBER($I13),ISNUMBER($J13),ISNUMBER(D$10),ISNUMBER('Inputs'!D38),ISNUMBER('Inputs'!D37),ISNUMBER('Inputs'!D39),ISNUMBER('Inputs'!D12)),IF(AND(D$10&gt;CRE_Zero,$I13&gt;CRE_Zero,'Inputs'!G38="OK",'Inputs'!G37="OK",'Inputs'!G39="OK",'Inputs'!G12="OK"),(MIN($I13/'Inputs'!D38,$I13/D$10*(CRE_One-'Inputs'!D37)/(CRE_One+'Inputs'!D39))-$J13)/(CRE_One+'Inputs'!D12),"n.a."),"n.a.")</x:f>
        <x:v>687391.2050256993</x:v>
      </x:c>
      <x:c r="E13" s="62" t="n">
        <x:f>IF(AND(ISNUMBER($I13),ISNUMBER($J13),ISNUMBER(E$10),ISNUMBER('Inputs'!D38),ISNUMBER('Inputs'!D37),ISNUMBER('Inputs'!D39),ISNUMBER('Inputs'!D12)),IF(AND(E$10&gt;CRE_Zero,$I13&gt;CRE_Zero,'Inputs'!G38="OK",'Inputs'!G37="OK",'Inputs'!G39="OK",'Inputs'!G12="OK"),(MIN($I13/'Inputs'!D38,$I13/E$10*(CRE_One-'Inputs'!D37)/(CRE_One+'Inputs'!D39))-$J13)/(CRE_One+'Inputs'!D12),"n.a."),"n.a.")</x:f>
        <x:v>687391.2050256993</x:v>
      </x:c>
      <x:c r="F13" s="92" t="n">
        <x:f>IF(AND(ISNUMBER($I13),ISNUMBER($J13),ISNUMBER(F$10),ISNUMBER('Inputs'!D38),ISNUMBER('Inputs'!D37),ISNUMBER('Inputs'!D39),ISNUMBER('Inputs'!D12)),IF(AND(F$10&gt;CRE_Zero,$I13&gt;CRE_Zero,'Inputs'!G38="OK",'Inputs'!G37="OK",'Inputs'!G39="OK",'Inputs'!G12="OK"),(MIN($I13/'Inputs'!D38,$I13/F$10*(CRE_One-'Inputs'!D37)/(CRE_One+'Inputs'!D39))-$J13)/(CRE_One+'Inputs'!D12),"n.a."),"n.a.")</x:f>
        <x:v>687391.2050256993</x:v>
      </x:c>
      <x:c r="G13" s="62" t="n">
        <x:f>IF(AND(ISNUMBER($I13),ISNUMBER($J13),ISNUMBER(G$10),ISNUMBER('Inputs'!D38),ISNUMBER('Inputs'!D37),ISNUMBER('Inputs'!D39),ISNUMBER('Inputs'!D12)),IF(AND(G$10&gt;CRE_Zero,$I13&gt;CRE_Zero,'Inputs'!G38="OK",'Inputs'!G37="OK",'Inputs'!G39="OK",'Inputs'!G12="OK"),(MIN($I13/'Inputs'!D38,$I13/G$10*(CRE_One-'Inputs'!D37)/(CRE_One+'Inputs'!D39))-$J13)/(CRE_One+'Inputs'!D12),"n.a."),"n.a.")</x:f>
        <x:v>420145.2962838963</x:v>
      </x:c>
      <x:c r="H13" s="62" t="n">
        <x:f>IF(AND(ISNUMBER($I13),ISNUMBER($J13),ISNUMBER(H$10),ISNUMBER('Inputs'!D38),ISNUMBER('Inputs'!D37),ISNUMBER('Inputs'!D39),ISNUMBER('Inputs'!D12)),IF(AND(H$10&gt;CRE_Zero,$I13&gt;CRE_Zero,'Inputs'!G38="OK",'Inputs'!G37="OK",'Inputs'!G39="OK",'Inputs'!G12="OK"),(MIN($I13/'Inputs'!D38,$I13/H$10*(CRE_One-'Inputs'!D37)/(CRE_One+'Inputs'!D39))-$J13)/(CRE_One+'Inputs'!D12),"n.a."),"n.a.")</x:f>
        <x:v>73744.44096461029</x:v>
      </x:c>
      <x:c r="I13" s="62" t="n">
        <x:f>IF(AND(ISNUMBER(C13),ISNUMBER('Development'!D35),ISNUMBER('Development'!D53),ISNUMBER('Inputs'!D15)),IF(C13&gt;=CRE_Zero,'Development'!D35+(C13-'Inputs'!D15)*'Development'!D53,"n.a."),"n.a.")</x:f>
        <x:v>493472</x:v>
      </x:c>
      <x:c r="J13" s="62" t="n">
        <x:f>IF(AND(ISNUMBER(C13),ISNUMBER('Development'!D20),ISNUMBER('Development'!D55),ISNUMBER('Inputs'!D15)),IF(C13&gt;=CRE_Zero,'Development'!D20+(C13-'Inputs'!D15)*'Development'!D55,"n.a."),"n.a.")</x:f>
        <x:v>5097540</x:v>
      </x:c>
    </x:row>
    <x:row r="14" ht="34" customHeight="1">
      <x:c r="A14" s="4"/>
      <x:c r="B14" s="4"/>
      <x:c r="C14" s="71" t="n">
        <x:f>IF(AND('Inputs'!G15="OK",'Inputs'!G56="OK"),'Inputs'!D15+CRE_Offset3*'Inputs'!D56,"n.a.")</x:f>
        <x:v>30</x:v>
      </x:c>
      <x:c r="D14" s="62" t="n">
        <x:f>IF(AND(ISNUMBER($I14),ISNUMBER($J14),ISNUMBER(D$10),ISNUMBER('Inputs'!D38),ISNUMBER('Inputs'!D37),ISNUMBER('Inputs'!D39),ISNUMBER('Inputs'!D12)),IF(AND(D$10&gt;CRE_Zero,$I14&gt;CRE_Zero,'Inputs'!G38="OK",'Inputs'!G37="OK",'Inputs'!G39="OK",'Inputs'!G12="OK"),(MIN($I14/'Inputs'!D38,$I14/D$10*(CRE_One-'Inputs'!D37)/(CRE_One+'Inputs'!D39))-$J14)/(CRE_One+'Inputs'!D12),"n.a."),"n.a.")</x:f>
        <x:v>1087966.8760708163</x:v>
      </x:c>
      <x:c r="E14" s="62" t="n">
        <x:f>IF(AND(ISNUMBER($I14),ISNUMBER($J14),ISNUMBER(E$10),ISNUMBER('Inputs'!D38),ISNUMBER('Inputs'!D37),ISNUMBER('Inputs'!D39),ISNUMBER('Inputs'!D12)),IF(AND(E$10&gt;CRE_Zero,$I14&gt;CRE_Zero,'Inputs'!G38="OK",'Inputs'!G37="OK",'Inputs'!G39="OK",'Inputs'!G12="OK"),(MIN($I14/'Inputs'!D38,$I14/E$10*(CRE_One-'Inputs'!D37)/(CRE_One+'Inputs'!D39))-$J14)/(CRE_One+'Inputs'!D12),"n.a."),"n.a.")</x:f>
        <x:v>1087966.8760708163</x:v>
      </x:c>
      <x:c r="F14" s="62" t="n">
        <x:f>IF(AND(ISNUMBER($I14),ISNUMBER($J14),ISNUMBER(F$10),ISNUMBER('Inputs'!D38),ISNUMBER('Inputs'!D37),ISNUMBER('Inputs'!D39),ISNUMBER('Inputs'!D12)),IF(AND(F$10&gt;CRE_Zero,$I14&gt;CRE_Zero,'Inputs'!G38="OK",'Inputs'!G37="OK",'Inputs'!G39="OK",'Inputs'!G12="OK"),(MIN($I14/'Inputs'!D38,$I14/F$10*(CRE_One-'Inputs'!D37)/(CRE_One+'Inputs'!D39))-$J14)/(CRE_One+'Inputs'!D12),"n.a."),"n.a.")</x:f>
        <x:v>1087966.8760708163</x:v>
      </x:c>
      <x:c r="G14" s="62" t="n">
        <x:f>IF(AND(ISNUMBER($I14),ISNUMBER($J14),ISNUMBER(G$10),ISNUMBER('Inputs'!D38),ISNUMBER('Inputs'!D37),ISNUMBER('Inputs'!D39),ISNUMBER('Inputs'!D12)),IF(AND(G$10&gt;CRE_Zero,$I14&gt;CRE_Zero,'Inputs'!G38="OK",'Inputs'!G37="OK",'Inputs'!G39="OK",'Inputs'!G12="OK"),(MIN($I14/'Inputs'!D38,$I14/G$10*(CRE_One-'Inputs'!D37)/(CRE_One+'Inputs'!D39))-$J14)/(CRE_One+'Inputs'!D12),"n.a."),"n.a.")</x:f>
        <x:v>801389.3538667558</x:v>
      </x:c>
      <x:c r="H14" s="62" t="n">
        <x:f>IF(AND(ISNUMBER($I14),ISNUMBER($J14),ISNUMBER(H$10),ISNUMBER('Inputs'!D38),ISNUMBER('Inputs'!D37),ISNUMBER('Inputs'!D39),ISNUMBER('Inputs'!D12)),IF(AND(H$10&gt;CRE_Zero,$I14&gt;CRE_Zero,'Inputs'!G38="OK",'Inputs'!G37="OK",'Inputs'!G39="OK",'Inputs'!G12="OK"),(MIN($I14/'Inputs'!D38,$I14/H$10*(CRE_One-'Inputs'!D37)/(CRE_One+'Inputs'!D39))-$J14)/(CRE_One+'Inputs'!D12),"n.a."),"n.a.")</x:f>
        <x:v>429931.09927967424</x:v>
      </x:c>
      <x:c r="I14" s="62" t="n">
        <x:f>IF(AND(ISNUMBER(C14),ISNUMBER('Development'!D35),ISNUMBER('Development'!D53),ISNUMBER('Inputs'!D15)),IF(C14&gt;=CRE_Zero,'Development'!D35+(C14-'Inputs'!D15)*'Development'!D53,"n.a."),"n.a.")</x:f>
        <x:v>529168</x:v>
      </x:c>
      <x:c r="J14" s="62" t="n">
        <x:f>IF(AND(ISNUMBER(C14),ISNUMBER('Development'!D20),ISNUMBER('Development'!D55),ISNUMBER('Inputs'!D15)),IF(C14&gt;=CRE_Zero,'Development'!D20+(C14-'Inputs'!D15)*'Development'!D55,"n.a."),"n.a.")</x:f>
        <x:v>5104900</x:v>
      </x:c>
    </x:row>
    <x:row r="15" ht="34" customHeight="1">
      <x:c r="A15" s="4"/>
      <x:c r="B15" s="4"/>
      <x:c r="C15" s="71" t="n">
        <x:f>IF(AND('Inputs'!G15="OK",'Inputs'!G56="OK"),'Inputs'!D15+CRE_Offset4*'Inputs'!D56,"n.a.")</x:f>
        <x:v>32</x:v>
      </x:c>
      <x:c r="D15" s="62" t="n">
        <x:f>IF(AND(ISNUMBER($I15),ISNUMBER($J15),ISNUMBER(D$10),ISNUMBER('Inputs'!D38),ISNUMBER('Inputs'!D37),ISNUMBER('Inputs'!D39),ISNUMBER('Inputs'!D12)),IF(AND(D$10&gt;CRE_Zero,$I15&gt;CRE_Zero,'Inputs'!G38="OK",'Inputs'!G37="OK",'Inputs'!G39="OK",'Inputs'!G12="OK"),(MIN($I15/'Inputs'!D38,$I15/D$10*(CRE_One-'Inputs'!D37)/(CRE_One+'Inputs'!D39))-$J15)/(CRE_One+'Inputs'!D12),"n.a."),"n.a.")</x:f>
        <x:v>1488542.5471159332</x:v>
      </x:c>
      <x:c r="E15" s="62" t="n">
        <x:f>IF(AND(ISNUMBER($I15),ISNUMBER($J15),ISNUMBER(E$10),ISNUMBER('Inputs'!D38),ISNUMBER('Inputs'!D37),ISNUMBER('Inputs'!D39),ISNUMBER('Inputs'!D12)),IF(AND(E$10&gt;CRE_Zero,$I15&gt;CRE_Zero,'Inputs'!G38="OK",'Inputs'!G37="OK",'Inputs'!G39="OK",'Inputs'!G12="OK"),(MIN($I15/'Inputs'!D38,$I15/E$10*(CRE_One-'Inputs'!D37)/(CRE_One+'Inputs'!D39))-$J15)/(CRE_One+'Inputs'!D12),"n.a."),"n.a.")</x:f>
        <x:v>1488542.5471159332</x:v>
      </x:c>
      <x:c r="F15" s="62" t="n">
        <x:f>IF(AND(ISNUMBER($I15),ISNUMBER($J15),ISNUMBER(F$10),ISNUMBER('Inputs'!D38),ISNUMBER('Inputs'!D37),ISNUMBER('Inputs'!D39),ISNUMBER('Inputs'!D12)),IF(AND(F$10&gt;CRE_Zero,$I15&gt;CRE_Zero,'Inputs'!G38="OK",'Inputs'!G37="OK",'Inputs'!G39="OK",'Inputs'!G12="OK"),(MIN($I15/'Inputs'!D38,$I15/F$10*(CRE_One-'Inputs'!D37)/(CRE_One+'Inputs'!D39))-$J15)/(CRE_One+'Inputs'!D12),"n.a."),"n.a.")</x:f>
        <x:v>1488542.5471159332</x:v>
      </x:c>
      <x:c r="G15" s="62" t="n">
        <x:f>IF(AND(ISNUMBER($I15),ISNUMBER($J15),ISNUMBER(G$10),ISNUMBER('Inputs'!D38),ISNUMBER('Inputs'!D37),ISNUMBER('Inputs'!D39),ISNUMBER('Inputs'!D12)),IF(AND(G$10&gt;CRE_Zero,$I15&gt;CRE_Zero,'Inputs'!G38="OK",'Inputs'!G37="OK",'Inputs'!G39="OK",'Inputs'!G12="OK"),(MIN($I15/'Inputs'!D38,$I15/G$10*(CRE_One-'Inputs'!D37)/(CRE_One+'Inputs'!D39))-$J15)/(CRE_One+'Inputs'!D12),"n.a."),"n.a.")</x:f>
        <x:v>1182633.4114496144</x:v>
      </x:c>
      <x:c r="H15" s="62" t="n">
        <x:f>IF(AND(ISNUMBER($I15),ISNUMBER($J15),ISNUMBER(H$10),ISNUMBER('Inputs'!D38),ISNUMBER('Inputs'!D37),ISNUMBER('Inputs'!D39),ISNUMBER('Inputs'!D12)),IF(AND(H$10&gt;CRE_Zero,$I15&gt;CRE_Zero,'Inputs'!G38="OK",'Inputs'!G37="OK",'Inputs'!G39="OK",'Inputs'!G12="OK"),(MIN($I15/'Inputs'!D38,$I15/H$10*(CRE_One-'Inputs'!D37)/(CRE_One+'Inputs'!D39))-$J15)/(CRE_One+'Inputs'!D12),"n.a."),"n.a.")</x:f>
        <x:v>786117.7575947391</x:v>
      </x:c>
      <x:c r="I15" s="62" t="n">
        <x:f>IF(AND(ISNUMBER(C15),ISNUMBER('Development'!D35),ISNUMBER('Development'!D53),ISNUMBER('Inputs'!D15)),IF(C15&gt;=CRE_Zero,'Development'!D35+(C15-'Inputs'!D15)*'Development'!D53,"n.a."),"n.a.")</x:f>
        <x:v>564864</x:v>
      </x:c>
      <x:c r="J15" s="62" t="n">
        <x:f>IF(AND(ISNUMBER(C15),ISNUMBER('Development'!D20),ISNUMBER('Development'!D55),ISNUMBER('Inputs'!D15)),IF(C15&gt;=CRE_Zero,'Development'!D20+(C15-'Inputs'!D15)*'Development'!D55,"n.a."),"n.a.")</x:f>
        <x:v>5112260</x:v>
      </x:c>
    </x:row>
    <x:row r="16" ht="27" customHeight="1">
      <x:c r="A16" s="4"/>
      <x:c r="B16" s="4"/>
      <x:c r="C16" s="4"/>
      <x:c r="D16" s="4"/>
      <x:c r="E16" s="4"/>
      <x:c r="F16" s="4"/>
      <x:c r="G16" s="4"/>
      <x:c r="H16" s="4"/>
      <x:c r="I16" s="4"/>
      <x:c r="J16" s="4"/>
    </x:row>
    <x:row r="17" ht="27" customHeight="1">
      <x:c r="A17" s="4"/>
      <x:c r="B17" s="4"/>
      <x:c r="C17" s="4"/>
      <x:c r="D17" s="4"/>
      <x:c r="E17" s="4"/>
      <x:c r="F17" s="4"/>
      <x:c r="G17" s="4"/>
      <x:c r="H17" s="4"/>
      <x:c r="I17" s="4"/>
      <x:c r="J17" s="4"/>
    </x:row>
    <x:row r="18" ht="25" customHeight="1">
      <x:c r="A18" s="4"/>
      <x:c r="B18" s="4"/>
      <x:c r="C18" s="11" t="str">
        <x:v>CASH REQUIRED AT REFINANCE  /  PERMANENT RATE × CAP RATE</x:v>
      </x:c>
      <x:c r="D18" s="11"/>
      <x:c r="E18" s="11"/>
      <x:c r="F18" s="11"/>
      <x:c r="G18" s="11"/>
      <x:c r="H18" s="11"/>
      <x:c r="I18" s="11"/>
      <x:c r="J18" s="11"/>
    </x:row>
    <x:row r="19" ht="34" customHeight="1">
      <x:c r="A19" s="4"/>
      <x:c r="B19" s="4"/>
      <x:c r="C19" s="6" t="str">
        <x:v>Holds NOI, payoff and lender limits fixed. Loan capacity is recalculated to the lowest LTV, DSCR and debt-yield limit.</x:v>
      </x:c>
      <x:c r="D19" s="6"/>
      <x:c r="E19" s="6"/>
      <x:c r="F19" s="6"/>
      <x:c r="G19" s="6"/>
      <x:c r="H19" s="6"/>
      <x:c r="I19" s="6"/>
      <x:c r="J19" s="6"/>
    </x:row>
    <x:row r="20" ht="27" customHeight="1">
      <x:c r="A20" s="4"/>
      <x:c r="B20" s="4"/>
      <x:c r="C20" s="4"/>
      <x:c r="D20" s="4"/>
      <x:c r="E20" s="4"/>
      <x:c r="F20" s="4"/>
      <x:c r="G20" s="4"/>
      <x:c r="H20" s="4"/>
      <x:c r="I20" s="4"/>
      <x:c r="J20" s="4"/>
    </x:row>
    <x:row r="21" ht="34" customHeight="1">
      <x:c r="A21" s="4"/>
      <x:c r="B21" s="4"/>
      <x:c r="C21" s="21" t="str">
        <x:v>Loan rate ↓   Cap →</x:v>
      </x:c>
      <x:c r="D21" s="89" t="n">
        <x:f>D10</x:f>
        <x:v>0.0575</x:v>
      </x:c>
      <x:c r="E21" s="89" t="n">
        <x:f>E10</x:f>
        <x:v>0.0625</x:v>
      </x:c>
      <x:c r="F21" s="89" t="n">
        <x:f>F10</x:f>
        <x:v>0.0675</x:v>
      </x:c>
      <x:c r="G21" s="89" t="n">
        <x:f>G10</x:f>
        <x:v>0.07250000000000001</x:v>
      </x:c>
      <x:c r="H21" s="89" t="n">
        <x:f>H10</x:f>
        <x:v>0.0775</x:v>
      </x:c>
      <x:c r="I21" s="21" t="str">
        <x:v>Annual mortgage constant</x:v>
      </x:c>
      <x:c r="J21" s="21"/>
    </x:row>
    <x:row r="22" ht="34" customHeight="1">
      <x:c r="A22" s="4"/>
      <x:c r="B22" s="4"/>
      <x:c r="C22" s="73" t="n">
        <x:f>IF(AND('Inputs'!G43="OK",'Inputs'!G58="OK"),'Inputs'!D43+CRE_Offset0*'Inputs'!D58,"n.a.")</x:f>
        <x:v>0.065</x:v>
      </x:c>
      <x:c r="D22" s="62" t="n">
        <x:f>IF(AND(ISNUMBER(D$21),ISNUMBER($I22),ISNUMBER('Development'!D35),ISNUMBER('Inputs'!D45),ISNUMBER('Inputs'!D46),ISNUMBER('Inputs'!D47),ISNUMBER('Inputs'!D48),ISNUMBER('Inputs'!D42)),IF(AND(D$21&gt;CRE_Zero,$I22&gt;CRE_Zero,'Development'!D35&gt;CRE_Zero,'Inputs'!G45="OK",'Inputs'!G46="OK",'Inputs'!G47="OK",'Inputs'!G48="OK",'Inputs'!G42="OK"),MAX(CRE_Zero,'Inputs'!D42-MIN('Development'!D35/D$21*'Inputs'!D45,'Development'!D35/'Inputs'!D46/$I22,'Development'!D35/'Inputs'!D47)*(CRE_One-'Inputs'!D48)),"n.a."),"n.a.")</x:f>
        <x:v>0</x:v>
      </x:c>
      <x:c r="E22" s="62" t="n">
        <x:f>IF(AND(ISNUMBER(E$21),ISNUMBER($I22),ISNUMBER('Development'!D35),ISNUMBER('Inputs'!D45),ISNUMBER('Inputs'!D46),ISNUMBER('Inputs'!D47),ISNUMBER('Inputs'!D48),ISNUMBER('Inputs'!D42)),IF(AND(E$21&gt;CRE_Zero,$I22&gt;CRE_Zero,'Development'!D35&gt;CRE_Zero,'Inputs'!G45="OK",'Inputs'!G46="OK",'Inputs'!G47="OK",'Inputs'!G48="OK",'Inputs'!G42="OK"),MAX(CRE_Zero,'Inputs'!D42-MIN('Development'!D35/E$21*'Inputs'!D45,'Development'!D35/'Inputs'!D46/$I22,'Development'!D35/'Inputs'!D47)*(CRE_One-'Inputs'!D48)),"n.a."),"n.a.")</x:f>
        <x:v>0</x:v>
      </x:c>
      <x:c r="F22" s="62" t="n">
        <x:f>IF(AND(ISNUMBER(F$21),ISNUMBER($I22),ISNUMBER('Development'!D35),ISNUMBER('Inputs'!D45),ISNUMBER('Inputs'!D46),ISNUMBER('Inputs'!D47),ISNUMBER('Inputs'!D48),ISNUMBER('Inputs'!D42)),IF(AND(F$21&gt;CRE_Zero,$I22&gt;CRE_Zero,'Development'!D35&gt;CRE_Zero,'Inputs'!G45="OK",'Inputs'!G46="OK",'Inputs'!G47="OK",'Inputs'!G48="OK",'Inputs'!G42="OK"),MAX(CRE_Zero,'Inputs'!D42-MIN('Development'!D35/F$21*'Inputs'!D45,'Development'!D35/'Inputs'!D46/$I22,'Development'!D35/'Inputs'!D47)*(CRE_One-'Inputs'!D48)),"n.a."),"n.a.")</x:f>
        <x:v>0</x:v>
      </x:c>
      <x:c r="G22" s="62" t="n">
        <x:f>IF(AND(ISNUMBER(G$21),ISNUMBER($I22),ISNUMBER('Development'!D35),ISNUMBER('Inputs'!D45),ISNUMBER('Inputs'!D46),ISNUMBER('Inputs'!D47),ISNUMBER('Inputs'!D48),ISNUMBER('Inputs'!D42)),IF(AND(G$21&gt;CRE_Zero,$I22&gt;CRE_Zero,'Development'!D35&gt;CRE_Zero,'Inputs'!G45="OK",'Inputs'!G46="OK",'Inputs'!G47="OK",'Inputs'!G48="OK",'Inputs'!G42="OK"),MAX(CRE_Zero,'Inputs'!D42-MIN('Development'!D35/G$21*'Inputs'!D45,'Development'!D35/'Inputs'!D46/$I22,'Development'!D35/'Inputs'!D47)*(CRE_One-'Inputs'!D48)),"n.a."),"n.a.")</x:f>
        <x:v>0</x:v>
      </x:c>
      <x:c r="H22" s="62" t="n">
        <x:f>IF(AND(ISNUMBER(H$21),ISNUMBER($I22),ISNUMBER('Development'!D35),ISNUMBER('Inputs'!D45),ISNUMBER('Inputs'!D46),ISNUMBER('Inputs'!D47),ISNUMBER('Inputs'!D48),ISNUMBER('Inputs'!D42)),IF(AND(H$21&gt;CRE_Zero,$I22&gt;CRE_Zero,'Development'!D35&gt;CRE_Zero,'Inputs'!G45="OK",'Inputs'!G46="OK",'Inputs'!G47="OK",'Inputs'!G48="OK",'Inputs'!G42="OK"),MAX(CRE_Zero,'Inputs'!D42-MIN('Development'!D35/H$21*'Inputs'!D45,'Development'!D35/'Inputs'!D46/$I22,'Development'!D35/'Inputs'!D47)*(CRE_One-'Inputs'!D48)),"n.a."),"n.a.")</x:f>
        <x:v>243978.5290322574</x:v>
      </x:c>
      <x:c r="I22" s="73" t="n">
        <x:f>IF(AND(ISNUMBER(C22),ISNUMBER('Inputs'!D44)),IF(AND(C22&gt;=CRE_Zero,'Inputs'!G44="OK"),IF(C22=CRE_Zero,CRE_One/'Inputs'!D44,-PMT(C22/CRE_MonthsPerYear,'Inputs'!D44*CRE_MonthsPerYear,CRE_One)*CRE_MonthsPerYear),"n.a."),"n.a.")</x:f>
        <x:v>0.08102485936171676</x:v>
      </x:c>
      <x:c r="J22" s="4"/>
    </x:row>
    <x:row r="23" ht="34" customHeight="1">
      <x:c r="A23" s="4"/>
      <x:c r="B23" s="4"/>
      <x:c r="C23" s="73" t="n">
        <x:f>IF(AND('Inputs'!G43="OK",'Inputs'!G58="OK"),'Inputs'!D43+CRE_Offset1*'Inputs'!D58,"n.a.")</x:f>
        <x:v>0.06999999999999999</x:v>
      </x:c>
      <x:c r="D23" s="62" t="n">
        <x:f>IF(AND(ISNUMBER(D$21),ISNUMBER($I23),ISNUMBER('Development'!D35),ISNUMBER('Inputs'!D45),ISNUMBER('Inputs'!D46),ISNUMBER('Inputs'!D47),ISNUMBER('Inputs'!D48),ISNUMBER('Inputs'!D42)),IF(AND(D$21&gt;CRE_Zero,$I23&gt;CRE_Zero,'Development'!D35&gt;CRE_Zero,'Inputs'!G45="OK",'Inputs'!G46="OK",'Inputs'!G47="OK",'Inputs'!G48="OK",'Inputs'!G42="OK"),MAX(CRE_Zero,'Inputs'!D42-MIN('Development'!D35/D$21*'Inputs'!D45,'Development'!D35/'Inputs'!D46/$I23,'Development'!D35/'Inputs'!D47)*(CRE_One-'Inputs'!D48)),"n.a."),"n.a.")</x:f>
        <x:v>0</x:v>
      </x:c>
      <x:c r="E23" s="62" t="n">
        <x:f>IF(AND(ISNUMBER(E$21),ISNUMBER($I23),ISNUMBER('Development'!D35),ISNUMBER('Inputs'!D45),ISNUMBER('Inputs'!D46),ISNUMBER('Inputs'!D47),ISNUMBER('Inputs'!D48),ISNUMBER('Inputs'!D42)),IF(AND(E$21&gt;CRE_Zero,$I23&gt;CRE_Zero,'Development'!D35&gt;CRE_Zero,'Inputs'!G45="OK",'Inputs'!G46="OK",'Inputs'!G47="OK",'Inputs'!G48="OK",'Inputs'!G42="OK"),MAX(CRE_Zero,'Inputs'!D42-MIN('Development'!D35/E$21*'Inputs'!D45,'Development'!D35/'Inputs'!D46/$I23,'Development'!D35/'Inputs'!D47)*(CRE_One-'Inputs'!D48)),"n.a."),"n.a.")</x:f>
        <x:v>0</x:v>
      </x:c>
      <x:c r="F23" s="62" t="n">
        <x:f>IF(AND(ISNUMBER(F$21),ISNUMBER($I23),ISNUMBER('Development'!D35),ISNUMBER('Inputs'!D45),ISNUMBER('Inputs'!D46),ISNUMBER('Inputs'!D47),ISNUMBER('Inputs'!D48),ISNUMBER('Inputs'!D42)),IF(AND(F$21&gt;CRE_Zero,$I23&gt;CRE_Zero,'Development'!D35&gt;CRE_Zero,'Inputs'!G45="OK",'Inputs'!G46="OK",'Inputs'!G47="OK",'Inputs'!G48="OK",'Inputs'!G42="OK"),MAX(CRE_Zero,'Inputs'!D42-MIN('Development'!D35/F$21*'Inputs'!D45,'Development'!D35/'Inputs'!D46/$I23,'Development'!D35/'Inputs'!D47)*(CRE_One-'Inputs'!D48)),"n.a."),"n.a.")</x:f>
        <x:v>0</x:v>
      </x:c>
      <x:c r="G23" s="62" t="n">
        <x:f>IF(AND(ISNUMBER(G$21),ISNUMBER($I23),ISNUMBER('Development'!D35),ISNUMBER('Inputs'!D45),ISNUMBER('Inputs'!D46),ISNUMBER('Inputs'!D47),ISNUMBER('Inputs'!D48),ISNUMBER('Inputs'!D42)),IF(AND(G$21&gt;CRE_Zero,$I23&gt;CRE_Zero,'Development'!D35&gt;CRE_Zero,'Inputs'!G45="OK",'Inputs'!G46="OK",'Inputs'!G47="OK",'Inputs'!G48="OK",'Inputs'!G42="OK"),MAX(CRE_Zero,'Inputs'!D42-MIN('Development'!D35/G$21*'Inputs'!D45,'Development'!D35/'Inputs'!D46/$I23,'Development'!D35/'Inputs'!D47)*(CRE_One-'Inputs'!D48)),"n.a."),"n.a.")</x:f>
        <x:v>0</x:v>
      </x:c>
      <x:c r="H23" s="62" t="n">
        <x:f>IF(AND(ISNUMBER(H$21),ISNUMBER($I23),ISNUMBER('Development'!D35),ISNUMBER('Inputs'!D45),ISNUMBER('Inputs'!D46),ISNUMBER('Inputs'!D47),ISNUMBER('Inputs'!D48),ISNUMBER('Inputs'!D42)),IF(AND(H$21&gt;CRE_Zero,$I23&gt;CRE_Zero,'Development'!D35&gt;CRE_Zero,'Inputs'!G45="OK",'Inputs'!G46="OK",'Inputs'!G47="OK",'Inputs'!G48="OK",'Inputs'!G42="OK"),MAX(CRE_Zero,'Inputs'!D42-MIN('Development'!D35/H$21*'Inputs'!D45,'Development'!D35/'Inputs'!D46/$I23,'Development'!D35/'Inputs'!D47)*(CRE_One-'Inputs'!D48)),"n.a."),"n.a.")</x:f>
        <x:v>243978.5290322574</x:v>
      </x:c>
      <x:c r="I23" s="73" t="n">
        <x:f>IF(AND(ISNUMBER(C23),ISNUMBER('Inputs'!D44)),IF(AND(C23&gt;=CRE_Zero,'Inputs'!G44="OK"),IF(C23=CRE_Zero,CRE_One/'Inputs'!D44,-PMT(C23/CRE_MonthsPerYear,'Inputs'!D44*CRE_MonthsPerYear,CRE_One)*CRE_MonthsPerYear),"n.a."),"n.a.")</x:f>
        <x:v>0.084813503673011</x:v>
      </x:c>
      <x:c r="J23" s="4"/>
    </x:row>
    <x:row r="24" ht="34" customHeight="1">
      <x:c r="A24" s="4"/>
      <x:c r="B24" s="4"/>
      <x:c r="C24" s="73" t="n">
        <x:f>IF(AND('Inputs'!G43="OK",'Inputs'!G58="OK"),'Inputs'!D43+CRE_Offset2*'Inputs'!D58,"n.a.")</x:f>
        <x:v>0.075</x:v>
      </x:c>
      <x:c r="D24" s="62" t="n">
        <x:f>IF(AND(ISNUMBER(D$21),ISNUMBER($I24),ISNUMBER('Development'!D35),ISNUMBER('Inputs'!D45),ISNUMBER('Inputs'!D46),ISNUMBER('Inputs'!D47),ISNUMBER('Inputs'!D48),ISNUMBER('Inputs'!D42)),IF(AND(D$21&gt;CRE_Zero,$I24&gt;CRE_Zero,'Development'!D35&gt;CRE_Zero,'Inputs'!G45="OK",'Inputs'!G46="OK",'Inputs'!G47="OK",'Inputs'!G48="OK",'Inputs'!G42="OK"),MAX(CRE_Zero,'Inputs'!D42-MIN('Development'!D35/D$21*'Inputs'!D45,'Development'!D35/'Inputs'!D46/$I24,'Development'!D35/'Inputs'!D47)*(CRE_One-'Inputs'!D48)),"n.a."),"n.a.")</x:f>
        <x:v>105069.79867349193</x:v>
      </x:c>
      <x:c r="E24" s="62" t="n">
        <x:f>IF(AND(ISNUMBER(E$21),ISNUMBER($I24),ISNUMBER('Development'!D35),ISNUMBER('Inputs'!D45),ISNUMBER('Inputs'!D46),ISNUMBER('Inputs'!D47),ISNUMBER('Inputs'!D48),ISNUMBER('Inputs'!D42)),IF(AND(E$21&gt;CRE_Zero,$I24&gt;CRE_Zero,'Development'!D35&gt;CRE_Zero,'Inputs'!G45="OK",'Inputs'!G46="OK",'Inputs'!G47="OK",'Inputs'!G48="OK",'Inputs'!G42="OK"),MAX(CRE_Zero,'Inputs'!D42-MIN('Development'!D35/E$21*'Inputs'!D45,'Development'!D35/'Inputs'!D46/$I24,'Development'!D35/'Inputs'!D47)*(CRE_One-'Inputs'!D48)),"n.a."),"n.a.")</x:f>
        <x:v>105069.79867349193</x:v>
      </x:c>
      <x:c r="F24" s="92" t="n">
        <x:f>IF(AND(ISNUMBER(F$21),ISNUMBER($I24),ISNUMBER('Development'!D35),ISNUMBER('Inputs'!D45),ISNUMBER('Inputs'!D46),ISNUMBER('Inputs'!D47),ISNUMBER('Inputs'!D48),ISNUMBER('Inputs'!D42)),IF(AND(F$21&gt;CRE_Zero,$I24&gt;CRE_Zero,'Development'!D35&gt;CRE_Zero,'Inputs'!G45="OK",'Inputs'!G46="OK",'Inputs'!G47="OK",'Inputs'!G48="OK",'Inputs'!G42="OK"),MAX(CRE_Zero,'Inputs'!D42-MIN('Development'!D35/F$21*'Inputs'!D45,'Development'!D35/'Inputs'!D46/$I24,'Development'!D35/'Inputs'!D47)*(CRE_One-'Inputs'!D48)),"n.a."),"n.a.")</x:f>
        <x:v>105069.79867349193</x:v>
      </x:c>
      <x:c r="G24" s="62" t="n">
        <x:f>IF(AND(ISNUMBER(G$21),ISNUMBER($I24),ISNUMBER('Development'!D35),ISNUMBER('Inputs'!D45),ISNUMBER('Inputs'!D46),ISNUMBER('Inputs'!D47),ISNUMBER('Inputs'!D48),ISNUMBER('Inputs'!D42)),IF(AND(G$21&gt;CRE_Zero,$I24&gt;CRE_Zero,'Development'!D35&gt;CRE_Zero,'Inputs'!G45="OK",'Inputs'!G46="OK",'Inputs'!G47="OK",'Inputs'!G48="OK",'Inputs'!G42="OK"),MAX(CRE_Zero,'Inputs'!D42-MIN('Development'!D35/G$21*'Inputs'!D45,'Development'!D35/'Inputs'!D46/$I24,'Development'!D35/'Inputs'!D47)*(CRE_One-'Inputs'!D48)),"n.a."),"n.a.")</x:f>
        <x:v>105069.79867349193</x:v>
      </x:c>
      <x:c r="H24" s="62" t="n">
        <x:f>IF(AND(ISNUMBER(H$21),ISNUMBER($I24),ISNUMBER('Development'!D35),ISNUMBER('Inputs'!D45),ISNUMBER('Inputs'!D46),ISNUMBER('Inputs'!D47),ISNUMBER('Inputs'!D48),ISNUMBER('Inputs'!D42)),IF(AND(H$21&gt;CRE_Zero,$I24&gt;CRE_Zero,'Development'!D35&gt;CRE_Zero,'Inputs'!G45="OK",'Inputs'!G46="OK",'Inputs'!G47="OK",'Inputs'!G48="OK",'Inputs'!G42="OK"),MAX(CRE_Zero,'Inputs'!D42-MIN('Development'!D35/H$21*'Inputs'!D45,'Development'!D35/'Inputs'!D46/$I24,'Development'!D35/'Inputs'!D47)*(CRE_One-'Inputs'!D48)),"n.a."),"n.a.")</x:f>
        <x:v>243978.5290322574</x:v>
      </x:c>
      <x:c r="I24" s="73" t="n">
        <x:f>IF(AND(ISNUMBER(C24),ISNUMBER('Inputs'!D44)),IF(AND(C24&gt;=CRE_Zero,'Inputs'!G44="OK"),IF(C24=CRE_Zero,CRE_One/'Inputs'!D44,-PMT(C24/CRE_MonthsPerYear,'Inputs'!D44*CRE_MonthsPerYear,CRE_One)*CRE_MonthsPerYear),"n.a."),"n.a.")</x:f>
        <x:v>0.08867894133569512</x:v>
      </x:c>
      <x:c r="J24" s="4"/>
    </x:row>
    <x:row r="25" ht="34" customHeight="1">
      <x:c r="A25" s="4"/>
      <x:c r="B25" s="4"/>
      <x:c r="C25" s="73" t="n">
        <x:f>IF(AND('Inputs'!G43="OK",'Inputs'!G58="OK"),'Inputs'!D43+CRE_Offset3*'Inputs'!D58,"n.a.")</x:f>
        <x:v>0.08</x:v>
      </x:c>
      <x:c r="D25" s="62" t="n">
        <x:f>IF(AND(ISNUMBER(D$21),ISNUMBER($I25),ISNUMBER('Development'!D35),ISNUMBER('Inputs'!D45),ISNUMBER('Inputs'!D46),ISNUMBER('Inputs'!D47),ISNUMBER('Inputs'!D48),ISNUMBER('Inputs'!D42)),IF(AND(D$21&gt;CRE_Zero,$I25&gt;CRE_Zero,'Development'!D35&gt;CRE_Zero,'Inputs'!G45="OK",'Inputs'!G46="OK",'Inputs'!G47="OK",'Inputs'!G48="OK",'Inputs'!G42="OK"),MAX(CRE_Zero,'Inputs'!D42-MIN('Development'!D35/D$21*'Inputs'!D45,'Development'!D35/'Inputs'!D46/$I25,'Development'!D35/'Inputs'!D47)*(CRE_One-'Inputs'!D48)),"n.a."),"n.a.")</x:f>
        <x:v>283478.5374492947</x:v>
      </x:c>
      <x:c r="E25" s="62" t="n">
        <x:f>IF(AND(ISNUMBER(E$21),ISNUMBER($I25),ISNUMBER('Development'!D35),ISNUMBER('Inputs'!D45),ISNUMBER('Inputs'!D46),ISNUMBER('Inputs'!D47),ISNUMBER('Inputs'!D48),ISNUMBER('Inputs'!D42)),IF(AND(E$21&gt;CRE_Zero,$I25&gt;CRE_Zero,'Development'!D35&gt;CRE_Zero,'Inputs'!G45="OK",'Inputs'!G46="OK",'Inputs'!G47="OK",'Inputs'!G48="OK",'Inputs'!G42="OK"),MAX(CRE_Zero,'Inputs'!D42-MIN('Development'!D35/E$21*'Inputs'!D45,'Development'!D35/'Inputs'!D46/$I25,'Development'!D35/'Inputs'!D47)*(CRE_One-'Inputs'!D48)),"n.a."),"n.a.")</x:f>
        <x:v>283478.5374492947</x:v>
      </x:c>
      <x:c r="F25" s="62" t="n">
        <x:f>IF(AND(ISNUMBER(F$21),ISNUMBER($I25),ISNUMBER('Development'!D35),ISNUMBER('Inputs'!D45),ISNUMBER('Inputs'!D46),ISNUMBER('Inputs'!D47),ISNUMBER('Inputs'!D48),ISNUMBER('Inputs'!D42)),IF(AND(F$21&gt;CRE_Zero,$I25&gt;CRE_Zero,'Development'!D35&gt;CRE_Zero,'Inputs'!G45="OK",'Inputs'!G46="OK",'Inputs'!G47="OK",'Inputs'!G48="OK",'Inputs'!G42="OK"),MAX(CRE_Zero,'Inputs'!D42-MIN('Development'!D35/F$21*'Inputs'!D45,'Development'!D35/'Inputs'!D46/$I25,'Development'!D35/'Inputs'!D47)*(CRE_One-'Inputs'!D48)),"n.a."),"n.a.")</x:f>
        <x:v>283478.5374492947</x:v>
      </x:c>
      <x:c r="G25" s="62" t="n">
        <x:f>IF(AND(ISNUMBER(G$21),ISNUMBER($I25),ISNUMBER('Development'!D35),ISNUMBER('Inputs'!D45),ISNUMBER('Inputs'!D46),ISNUMBER('Inputs'!D47),ISNUMBER('Inputs'!D48),ISNUMBER('Inputs'!D42)),IF(AND(G$21&gt;CRE_Zero,$I25&gt;CRE_Zero,'Development'!D35&gt;CRE_Zero,'Inputs'!G45="OK",'Inputs'!G46="OK",'Inputs'!G47="OK",'Inputs'!G48="OK",'Inputs'!G42="OK"),MAX(CRE_Zero,'Inputs'!D42-MIN('Development'!D35/G$21*'Inputs'!D45,'Development'!D35/'Inputs'!D46/$I25,'Development'!D35/'Inputs'!D47)*(CRE_One-'Inputs'!D48)),"n.a."),"n.a.")</x:f>
        <x:v>283478.5374492947</x:v>
      </x:c>
      <x:c r="H25" s="62" t="n">
        <x:f>IF(AND(ISNUMBER(H$21),ISNUMBER($I25),ISNUMBER('Development'!D35),ISNUMBER('Inputs'!D45),ISNUMBER('Inputs'!D46),ISNUMBER('Inputs'!D47),ISNUMBER('Inputs'!D48),ISNUMBER('Inputs'!D42)),IF(AND(H$21&gt;CRE_Zero,$I25&gt;CRE_Zero,'Development'!D35&gt;CRE_Zero,'Inputs'!G45="OK",'Inputs'!G46="OK",'Inputs'!G47="OK",'Inputs'!G48="OK",'Inputs'!G42="OK"),MAX(CRE_Zero,'Inputs'!D42-MIN('Development'!D35/H$21*'Inputs'!D45,'Development'!D35/'Inputs'!D46/$I25,'Development'!D35/'Inputs'!D47)*(CRE_One-'Inputs'!D48)),"n.a."),"n.a.")</x:f>
        <x:v>283478.5374492947</x:v>
      </x:c>
      <x:c r="I25" s="73" t="n">
        <x:f>IF(AND(ISNUMBER(C25),ISNUMBER('Inputs'!D44)),IF(AND(C25&gt;=CRE_Zero,'Inputs'!G44="OK"),IF(C25=CRE_Zero,CRE_One/'Inputs'!D44,-PMT(C25/CRE_MonthsPerYear,'Inputs'!D44*CRE_MonthsPerYear,CRE_One)*CRE_MonthsPerYear),"n.a."),"n.a.")</x:f>
        <x:v>0.09261794632476036</x:v>
      </x:c>
      <x:c r="J25" s="4"/>
    </x:row>
    <x:row r="26" ht="34" customHeight="1">
      <x:c r="A26" s="4"/>
      <x:c r="B26" s="4"/>
      <x:c r="C26" s="73" t="n">
        <x:f>IF(AND('Inputs'!G43="OK",'Inputs'!G58="OK"),'Inputs'!D43+CRE_Offset4*'Inputs'!D58,"n.a.")</x:f>
        <x:v>0.08499999999999999</x:v>
      </x:c>
      <x:c r="D26" s="62" t="n">
        <x:f>IF(AND(ISNUMBER(D$21),ISNUMBER($I26),ISNUMBER('Development'!D35),ISNUMBER('Inputs'!D45),ISNUMBER('Inputs'!D46),ISNUMBER('Inputs'!D47),ISNUMBER('Inputs'!D48),ISNUMBER('Inputs'!D42)),IF(AND(D$21&gt;CRE_Zero,$I26&gt;CRE_Zero,'Development'!D35&gt;CRE_Zero,'Inputs'!G45="OK",'Inputs'!G46="OK",'Inputs'!G47="OK",'Inputs'!G48="OK",'Inputs'!G42="OK"),MAX(CRE_Zero,'Inputs'!D42-MIN('Development'!D35/D$21*'Inputs'!D45,'Development'!D35/'Inputs'!D46/$I26,'Development'!D35/'Inputs'!D47)*(CRE_One-'Inputs'!D48)),"n.a."),"n.a.")</x:f>
        <x:v>450133.9511238639</x:v>
      </x:c>
      <x:c r="E26" s="62" t="n">
        <x:f>IF(AND(ISNUMBER(E$21),ISNUMBER($I26),ISNUMBER('Development'!D35),ISNUMBER('Inputs'!D45),ISNUMBER('Inputs'!D46),ISNUMBER('Inputs'!D47),ISNUMBER('Inputs'!D48),ISNUMBER('Inputs'!D42)),IF(AND(E$21&gt;CRE_Zero,$I26&gt;CRE_Zero,'Development'!D35&gt;CRE_Zero,'Inputs'!G45="OK",'Inputs'!G46="OK",'Inputs'!G47="OK",'Inputs'!G48="OK",'Inputs'!G42="OK"),MAX(CRE_Zero,'Inputs'!D42-MIN('Development'!D35/E$21*'Inputs'!D45,'Development'!D35/'Inputs'!D46/$I26,'Development'!D35/'Inputs'!D47)*(CRE_One-'Inputs'!D48)),"n.a."),"n.a.")</x:f>
        <x:v>450133.9511238639</x:v>
      </x:c>
      <x:c r="F26" s="62" t="n">
        <x:f>IF(AND(ISNUMBER(F$21),ISNUMBER($I26),ISNUMBER('Development'!D35),ISNUMBER('Inputs'!D45),ISNUMBER('Inputs'!D46),ISNUMBER('Inputs'!D47),ISNUMBER('Inputs'!D48),ISNUMBER('Inputs'!D42)),IF(AND(F$21&gt;CRE_Zero,$I26&gt;CRE_Zero,'Development'!D35&gt;CRE_Zero,'Inputs'!G45="OK",'Inputs'!G46="OK",'Inputs'!G47="OK",'Inputs'!G48="OK",'Inputs'!G42="OK"),MAX(CRE_Zero,'Inputs'!D42-MIN('Development'!D35/F$21*'Inputs'!D45,'Development'!D35/'Inputs'!D46/$I26,'Development'!D35/'Inputs'!D47)*(CRE_One-'Inputs'!D48)),"n.a."),"n.a.")</x:f>
        <x:v>450133.9511238639</x:v>
      </x:c>
      <x:c r="G26" s="62" t="n">
        <x:f>IF(AND(ISNUMBER(G$21),ISNUMBER($I26),ISNUMBER('Development'!D35),ISNUMBER('Inputs'!D45),ISNUMBER('Inputs'!D46),ISNUMBER('Inputs'!D47),ISNUMBER('Inputs'!D48),ISNUMBER('Inputs'!D42)),IF(AND(G$21&gt;CRE_Zero,$I26&gt;CRE_Zero,'Development'!D35&gt;CRE_Zero,'Inputs'!G45="OK",'Inputs'!G46="OK",'Inputs'!G47="OK",'Inputs'!G48="OK",'Inputs'!G42="OK"),MAX(CRE_Zero,'Inputs'!D42-MIN('Development'!D35/G$21*'Inputs'!D45,'Development'!D35/'Inputs'!D46/$I26,'Development'!D35/'Inputs'!D47)*(CRE_One-'Inputs'!D48)),"n.a."),"n.a.")</x:f>
        <x:v>450133.9511238639</x:v>
      </x:c>
      <x:c r="H26" s="62" t="n">
        <x:f>IF(AND(ISNUMBER(H$21),ISNUMBER($I26),ISNUMBER('Development'!D35),ISNUMBER('Inputs'!D45),ISNUMBER('Inputs'!D46),ISNUMBER('Inputs'!D47),ISNUMBER('Inputs'!D48),ISNUMBER('Inputs'!D42)),IF(AND(H$21&gt;CRE_Zero,$I26&gt;CRE_Zero,'Development'!D35&gt;CRE_Zero,'Inputs'!G45="OK",'Inputs'!G46="OK",'Inputs'!G47="OK",'Inputs'!G48="OK",'Inputs'!G42="OK"),MAX(CRE_Zero,'Inputs'!D42-MIN('Development'!D35/H$21*'Inputs'!D45,'Development'!D35/'Inputs'!D46/$I26,'Development'!D35/'Inputs'!D47)*(CRE_One-'Inputs'!D48)),"n.a."),"n.a.")</x:f>
        <x:v>450133.9511238639</x:v>
      </x:c>
      <x:c r="I26" s="73" t="n">
        <x:f>IF(AND(ISNUMBER(C26),ISNUMBER('Inputs'!D44)),IF(AND(C26&gt;=CRE_Zero,'Inputs'!G44="OK"),IF(C26=CRE_Zero,CRE_One/'Inputs'!D44,-PMT(C26/CRE_MonthsPerYear,'Inputs'!D44*CRE_MonthsPerYear,CRE_One)*CRE_MonthsPerYear),"n.a."),"n.a.")</x:f>
        <x:v>0.09662725001545575</x:v>
      </x:c>
      <x:c r="J26" s="4"/>
    </x:row>
    <x:row r="27" ht="27" customHeight="1">
      <x:c r="A27" s="4"/>
      <x:c r="B27" s="4"/>
      <x:c r="C27" s="4"/>
      <x:c r="D27" s="4"/>
      <x:c r="E27" s="4"/>
      <x:c r="F27" s="4"/>
      <x:c r="G27" s="4"/>
      <x:c r="H27" s="4"/>
      <x:c r="I27" s="4"/>
      <x:c r="J27" s="4"/>
    </x:row>
    <x:row r="28" ht="27" customHeight="1">
      <x:c r="A28" s="4"/>
      <x:c r="B28" s="4"/>
      <x:c r="C28" s="4"/>
      <x:c r="D28" s="4"/>
      <x:c r="E28" s="4"/>
      <x:c r="F28" s="4"/>
      <x:c r="G28" s="4"/>
      <x:c r="H28" s="4"/>
      <x:c r="I28" s="4"/>
      <x:c r="J28" s="4"/>
    </x:row>
    <x:row r="29" ht="25" customHeight="1">
      <x:c r="A29" s="4"/>
      <x:c r="B29" s="4"/>
      <x:c r="C29" s="11" t="str">
        <x:v>HOW TO READ THE TABLES</x:v>
      </x:c>
      <x:c r="D29" s="11"/>
      <x:c r="E29" s="11"/>
      <x:c r="F29" s="11"/>
      <x:c r="G29" s="11"/>
      <x:c r="H29" s="11"/>
      <x:c r="I29" s="11"/>
      <x:c r="J29" s="11"/>
    </x:row>
    <x:row r="30" ht="27" customHeight="1">
      <x:c r="A30" s="4"/>
      <x:c r="B30" s="4"/>
      <x:c r="C30" s="6" t="str">
        <x:v>Land table: lower rent reduces NOI and initial commission cost together. Both the yield target and profit-on-cost target must be met. Cap rates only change the valuation-based constraint.</x:v>
      </x:c>
      <x:c r="D30" s="6"/>
      <x:c r="E30" s="6"/>
      <x:c r="F30" s="6"/>
      <x:c r="G30" s="6"/>
      <x:c r="H30" s="6"/>
      <x:c r="I30" s="6"/>
      <x:c r="J30" s="6"/>
    </x:row>
    <x:row r="31" ht="27" customHeight="1">
      <x:c r="A31" s="4"/>
      <x:c r="B31" s="4"/>
      <x:c r="C31" s="6"/>
      <x:c r="D31" s="6"/>
      <x:c r="E31" s="6"/>
      <x:c r="F31" s="6"/>
      <x:c r="G31" s="6"/>
      <x:c r="H31" s="6"/>
      <x:c r="I31" s="6"/>
      <x:c r="J31" s="6"/>
    </x:row>
    <x:row r="32" ht="27" customHeight="1">
      <x:c r="A32" s="4"/>
      <x:c r="B32" s="4"/>
      <x:c r="C32" s="4"/>
      <x:c r="D32" s="4"/>
      <x:c r="E32" s="4"/>
      <x:c r="F32" s="4"/>
      <x:c r="G32" s="4"/>
      <x:c r="H32" s="4"/>
      <x:c r="I32" s="4"/>
      <x:c r="J32" s="4"/>
    </x:row>
    <x:row r="33" ht="27" customHeight="1">
      <x:c r="A33" s="4"/>
      <x:c r="B33" s="4"/>
      <x:c r="C33" s="6" t="str">
        <x:v>Refinance table: higher rates can reduce DSCR-based borrowing capacity. Higher cap rates reduce the LTV-based limit. The binding lender constraint can change across the table.</x:v>
      </x:c>
      <x:c r="D33" s="6"/>
      <x:c r="E33" s="6"/>
      <x:c r="F33" s="6"/>
      <x:c r="G33" s="6"/>
      <x:c r="H33" s="6"/>
      <x:c r="I33" s="6"/>
      <x:c r="J33" s="6"/>
    </x:row>
    <x:row r="34" ht="27" customHeight="1">
      <x:c r="A34" s="4"/>
      <x:c r="B34" s="4"/>
      <x:c r="C34" s="6"/>
      <x:c r="D34" s="6"/>
      <x:c r="E34" s="6"/>
      <x:c r="F34" s="6"/>
      <x:c r="G34" s="6"/>
      <x:c r="H34" s="6"/>
      <x:c r="I34" s="6"/>
      <x:c r="J34" s="6"/>
    </x:row>
    <x:row r="35" ht="27" customHeight="1">
      <x:c r="A35" s="4"/>
      <x:c r="B35" s="4"/>
      <x:c r="C35" s="4"/>
      <x:c r="D35" s="4"/>
      <x:c r="E35" s="4"/>
      <x:c r="F35" s="4"/>
      <x:c r="G35" s="4"/>
      <x:c r="H35" s="4"/>
      <x:c r="I35" s="4"/>
      <x:c r="J35" s="4"/>
    </x:row>
    <x:row r="36" ht="27" customHeight="1">
      <x:c r="A36" s="4"/>
      <x:c r="B36" s="4"/>
      <x:c r="C36" s="6" t="str">
        <x:v>These are two-variable screens, not forecasts of market movement. Invalid cases show n.a. and require review. Changes to lease-up timing, tenant mix or construction draws need a detailed cash-flow model.</x:v>
      </x:c>
      <x:c r="D36" s="6"/>
      <x:c r="E36" s="6"/>
      <x:c r="F36" s="6"/>
      <x:c r="G36" s="6"/>
      <x:c r="H36" s="6"/>
      <x:c r="I36" s="6"/>
      <x:c r="J36" s="6"/>
    </x:row>
    <x:row r="37" ht="27" customHeight="1">
      <x:c r="A37" s="4"/>
      <x:c r="B37" s="4"/>
      <x:c r="C37" s="6"/>
      <x:c r="D37" s="6"/>
      <x:c r="E37" s="6"/>
      <x:c r="F37" s="6"/>
      <x:c r="G37" s="6"/>
      <x:c r="H37" s="6"/>
      <x:c r="I37" s="6"/>
      <x:c r="J37" s="6"/>
    </x:row>
    <x:row r="38" ht="27" customHeight="1">
      <x:c r="A38" s="4"/>
      <x:c r="B38" s="4"/>
      <x:c r="C38" s="4"/>
      <x:c r="D38" s="4"/>
      <x:c r="E38" s="4"/>
      <x:c r="F38" s="4"/>
      <x:c r="G38" s="4"/>
      <x:c r="H38" s="4"/>
      <x:c r="I38" s="4"/>
      <x:c r="J38" s="4"/>
    </x:row>
    <x:row r="39" ht="27" customHeight="1">
      <x:c r="A39" s="4"/>
      <x:c r="B39" s="4"/>
      <x:c r="C39" s="4"/>
      <x:c r="D39" s="4"/>
      <x:c r="E39" s="4"/>
      <x:c r="F39" s="4"/>
      <x:c r="G39" s="4"/>
      <x:c r="H39" s="4"/>
      <x:c r="I39" s="4"/>
      <x:c r="J39" s="4"/>
    </x:row>
  </x:sheetData>
  <x:mergeCells>
    <x:mergeCell ref="C2:J2"/>
    <x:mergeCell ref="C3:J3"/>
    <x:mergeCell ref="C7:J7"/>
    <x:mergeCell ref="C8:J8"/>
    <x:mergeCell ref="C18:J18"/>
    <x:mergeCell ref="C19:J19"/>
    <x:mergeCell ref="I21:J21"/>
    <x:mergeCell ref="C29:J29"/>
    <x:mergeCell ref="C30:J31"/>
    <x:mergeCell ref="C33:J34"/>
    <x:mergeCell ref="C36:J37"/>
  </x:mergeCells>
  <x:conditionalFormatting sqref="D11:H15">
    <x:cfRule type="colorScale" priority="1">
      <x:colorScale>
        <x:cfvo type="min"/>
        <x:cfvo type="percentile" val="50"/>
        <x:cfvo type="max"/>
        <x:color rgb="FFFEE2E2"/>
        <x:color rgb="FFFFFFFF"/>
        <x:color rgb="FFDBEAFE"/>
      </x:colorScale>
    </x:cfRule>
  </x:conditionalFormatting>
  <x:conditionalFormatting sqref="D22:H26">
    <x:cfRule type="colorScale" priority="2">
      <x:colorScale>
        <x:cfvo type="min"/>
        <x:cfvo type="percentile" val="50"/>
        <x:cfvo type="max"/>
        <x:color rgb="FFDBEAFE"/>
        <x:color rgb="FFFFFFFF"/>
        <x:color rgb="FFFEE2E2"/>
      </x:colorScale>
    </x:cfRule>
  </x:conditionalFormatting>
  <x:printOptions horizontalCentered="1" headings="0" gridLines="0"/>
  <x:pageMargins left="0.35" right="0.35" top="0.3" bottom="0.3" header="0.1" footer="0.1"/>
  <x:pageSetup paperSize="1" orientation="landscape" fitToWidth="1" fitToHeight="0"/>
  <x:headerFooter>
    <x:oddFooter>&amp;LFinData Consulting&amp;C&amp;A&amp;R&amp;P / &amp;N</x:oddFooter>
  </x:headerFooter>
  <x:rowBreaks count="2" manualBreakCount="2">
    <x:brk id="17" min="0" max="16383" man="1"/>
    <x:brk id="28" min="0" max="16383" man="1"/>
  </x:rowBreaks>
</x:worksheet>
</file>

<file path=xl/worksheets/sheet6.xml><?xml version="1.0" encoding="utf-8"?>
<x:worksheet xmlns:x="http://schemas.openxmlformats.org/spreadsheetml/2006/main">
  <x:sheetPr>
    <x:tabColor rgb="FF1E1B4B"/>
    <x:pageSetUpPr fitToPage="1" autoPageBreaks="0"/>
  </x:sheetPr>
  <x:sheetViews>
    <x:sheetView showGridLines="0" workbookViewId="0">
      <x:pane ySplit="6" topLeftCell="A7" activePane="bottomLeft" state="frozen"/>
    </x:sheetView>
  </x:sheetViews>
  <x:sheetFormatPr defaultRowHeight="15"/>
  <x:cols>
    <x:col min="1" max="1" width="1.1100000143051147" hidden="0" customWidth="1"/>
    <x:col min="2" max="2" width="1.1100000143051147" hidden="0" customWidth="1"/>
    <x:col min="3" max="3" width="24.440000534057617" hidden="0" customWidth="1"/>
    <x:col min="4" max="4" width="16.110000610351562" hidden="0" customWidth="1"/>
    <x:col min="5" max="5" width="22.219999313354492" hidden="0" customWidth="1"/>
    <x:col min="6" max="6" width="32.220001220703125" hidden="0" customWidth="1"/>
    <x:col min="7" max="7" width="18.889999389648438" hidden="0" customWidth="1"/>
  </x:cols>
  <x:sheetData>
    <x:row r="1" ht="8" customHeight="1">
      <x:c r="A1" s="4"/>
      <x:c r="B1" s="4"/>
      <x:c r="C1" s="4"/>
      <x:c r="D1" s="4"/>
      <x:c r="E1" s="4"/>
      <x:c r="F1" s="4"/>
      <x:c r="G1" s="4"/>
    </x:row>
    <x:row r="2" ht="32" customHeight="1">
      <x:c r="A2" s="4"/>
      <x:c r="B2" s="4"/>
      <x:c r="C2" s="8" t="str">
        <x:v>Assumptions &amp; evidence log</x:v>
      </x:c>
      <x:c r="D2" s="8"/>
      <x:c r="E2" s="8"/>
      <x:c r="F2" s="8"/>
      <x:c r="G2" s="8"/>
    </x:row>
    <x:row r="3" ht="30" customHeight="1">
      <x:c r="A3" s="4"/>
      <x:c r="B3" s="4"/>
      <x:c r="C3" s="6" t="str">
        <x:v>05  /  Replace example assumptions with dated evidence. Track the next action before sharing a conclusion.</x:v>
      </x:c>
      <x:c r="D3" s="6"/>
      <x:c r="E3" s="6"/>
      <x:c r="F3" s="6"/>
      <x:c r="G3" s="6"/>
    </x:row>
    <x:row r="4" ht="10" customHeight="1">
      <x:c r="A4" s="4"/>
      <x:c r="B4" s="4"/>
      <x:c r="C4" s="4"/>
      <x:c r="D4" s="4"/>
      <x:c r="E4" s="4"/>
      <x:c r="F4" s="4"/>
      <x:c r="G4" s="4"/>
    </x:row>
    <x:row r="5" ht="9" customHeight="1">
      <x:c r="A5" s="4"/>
      <x:c r="B5" s="4"/>
      <x:c r="C5" s="7"/>
      <x:c r="D5" s="7"/>
      <x:c r="E5" s="7"/>
      <x:c r="F5" s="7"/>
      <x:c r="G5" s="7"/>
    </x:row>
    <x:row r="6" ht="9" customHeight="1">
      <x:c r="A6" s="4"/>
      <x:c r="B6" s="4"/>
      <x:c r="C6" s="4"/>
      <x:c r="D6" s="4"/>
      <x:c r="E6" s="4"/>
      <x:c r="F6" s="4"/>
      <x:c r="G6" s="4"/>
    </x:row>
    <x:row r="7" ht="25" customHeight="1">
      <x:c r="A7" s="4"/>
      <x:c r="B7" s="4"/>
      <x:c r="C7" s="11" t="str">
        <x:v>EVIDENCE TO CONFIRM BEFORE A PROJECT DECISION</x:v>
      </x:c>
      <x:c r="D7" s="11"/>
      <x:c r="E7" s="11"/>
      <x:c r="F7" s="11"/>
      <x:c r="G7" s="11"/>
    </x:row>
    <x:row r="8" ht="8" customHeight="1">
      <x:c r="A8" s="4"/>
      <x:c r="B8" s="4"/>
      <x:c r="C8" s="4"/>
      <x:c r="D8" s="4"/>
      <x:c r="E8" s="4"/>
      <x:c r="F8" s="4"/>
      <x:c r="G8" s="4"/>
    </x:row>
    <x:row r="9" ht="35" customHeight="1">
      <x:c r="A9" s="4"/>
      <x:c r="B9" s="4"/>
      <x:c r="C9" s="21" t="str">
        <x:v>Assumption / workstream</x:v>
      </x:c>
      <x:c r="D9" s="21" t="str">
        <x:v>Status</x:v>
      </x:c>
      <x:c r="E9" s="21" t="str">
        <x:v>Source + date</x:v>
      </x:c>
      <x:c r="F9" s="21" t="str">
        <x:v>Evidence / next action</x:v>
      </x:c>
      <x:c r="G9" s="21" t="str">
        <x:v>Owner / due date</x:v>
      </x:c>
    </x:row>
    <x:row r="10" ht="48" customHeight="1">
      <x:c r="A10" s="4"/>
      <x:c r="B10" s="4"/>
      <x:c r="C10" s="4" t="str">
        <x:v>Rent &amp; reimbursements</x:v>
      </x:c>
      <x:c r="D10" s="24" t="str">
        <x:v>Unverified</x:v>
      </x:c>
      <x:c r="E10" s="24" t="str"/>
      <x:c r="F10" s="24" t="str">
        <x:v>Signed LOIs, lease comps and recovery clauses; normalize annual $/SF.</x:v>
      </x:c>
      <x:c r="G10" s="24" t="str"/>
    </x:row>
    <x:row r="11" ht="48" customHeight="1">
      <x:c r="A11" s="4"/>
      <x:c r="B11" s="4"/>
      <x:c r="C11" s="4" t="str">
        <x:v>Occupancy &amp; lease-up</x:v>
      </x:c>
      <x:c r="D11" s="24" t="str">
        <x:v>Unverified</x:v>
      </x:c>
      <x:c r="E11" s="24" t="str"/>
      <x:c r="F11" s="24" t="str">
        <x:v>Absorption, concessions, free rent and stabilized economic occupancy.</x:v>
      </x:c>
      <x:c r="G11" s="24" t="str"/>
    </x:row>
    <x:row r="12" ht="48" customHeight="1">
      <x:c r="A12" s="4"/>
      <x:c r="B12" s="4"/>
      <x:c r="C12" s="4" t="str">
        <x:v>Cap rate &amp; NOI basis</x:v>
      </x:c>
      <x:c r="D12" s="24" t="str">
        <x:v>Unverified</x:v>
      </x:c>
      <x:c r="E12" s="24" t="str"/>
      <x:c r="F12" s="24" t="str">
        <x:v>Comparable transaction evidence; reconcile before/after-reserve NOI.</x:v>
      </x:c>
      <x:c r="G12" s="24" t="str"/>
    </x:row>
    <x:row r="13" ht="48" customHeight="1">
      <x:c r="A13" s="4"/>
      <x:c r="B13" s="4"/>
      <x:c r="C13" s="4" t="str">
        <x:v>Areas &amp; usable land</x:v>
      </x:c>
      <x:c r="D13" s="24" t="str">
        <x:v>Unverified</x:v>
      </x:c>
      <x:c r="E13" s="24" t="str"/>
      <x:c r="F13" s="24" t="str">
        <x:v>Survey, rentable/gross measurement, usable acreage and site coverage.</x:v>
      </x:c>
      <x:c r="G13" s="24" t="str"/>
    </x:row>
    <x:row r="14" ht="48" customHeight="1">
      <x:c r="A14" s="4"/>
      <x:c r="B14" s="4"/>
      <x:c r="C14" s="4" t="str">
        <x:v>Site &amp; entitlements</x:v>
      </x:c>
      <x:c r="D14" s="24" t="str">
        <x:v>Unverified</x:v>
      </x:c>
      <x:c r="E14" s="24" t="str"/>
      <x:c r="F14" s="24" t="str">
        <x:v>Utilities, access, zoning, environmental work and permitting path.</x:v>
      </x:c>
      <x:c r="G14" s="24" t="str"/>
    </x:row>
    <x:row r="15" ht="48" customHeight="1">
      <x:c r="A15" s="4"/>
      <x:c r="B15" s="4"/>
      <x:c r="C15" s="4" t="str">
        <x:v>Hard &amp; site costs</x:v>
      </x:c>
      <x:c r="D15" s="24" t="str">
        <x:v>Unverified</x:v>
      </x:c>
      <x:c r="E15" s="24" t="str"/>
      <x:c r="F15" s="24" t="str">
        <x:v>Dated contractor estimate, scope, exclusions and escalation exposure.</x:v>
      </x:c>
      <x:c r="G15" s="24" t="str"/>
    </x:row>
    <x:row r="16" ht="48" customHeight="1">
      <x:c r="A16" s="4"/>
      <x:c r="B16" s="4"/>
      <x:c r="C16" s="4" t="str">
        <x:v>Soft costs &amp; contingency</x:v>
      </x:c>
      <x:c r="D16" s="24" t="str">
        <x:v>Unverified</x:v>
      </x:c>
      <x:c r="E16" s="24" t="str"/>
      <x:c r="F16" s="24" t="str">
        <x:v>Reconcile inclusions and avoid duplicate developer or permit fees.</x:v>
      </x:c>
      <x:c r="G16" s="24" t="str"/>
    </x:row>
    <x:row r="17" ht="48" customHeight="1">
      <x:c r="A17" s="4"/>
      <x:c r="B17" s="4"/>
      <x:c r="C17" s="4" t="str">
        <x:v>Tenant improvements &amp; LC</x:v>
      </x:c>
      <x:c r="D17" s="24" t="str">
        <x:v>Unverified</x:v>
      </x:c>
      <x:c r="E17" s="24" t="str"/>
      <x:c r="F17" s="24" t="str">
        <x:v>Lease-specific TI and commission terms; occupied SF and lease term.</x:v>
      </x:c>
      <x:c r="G17" s="24" t="str"/>
    </x:row>
    <x:row r="18" ht="48" customHeight="1">
      <x:c r="A18" s="4"/>
      <x:c r="B18" s="4"/>
      <x:c r="C18" s="4" t="str">
        <x:v>Operations &amp; reserves</x:v>
      </x:c>
      <x:c r="D18" s="24" t="str">
        <x:v>Unverified</x:v>
      </x:c>
      <x:c r="E18" s="24" t="str"/>
      <x:c r="F18" s="24" t="str">
        <x:v>Taxes, insurance, maintenance, recoveries and replacement reserves.</x:v>
      </x:c>
      <x:c r="G18" s="24" t="str"/>
    </x:row>
    <x:row r="19" ht="48" customHeight="1">
      <x:c r="A19" s="4"/>
      <x:c r="B19" s="4"/>
      <x:c r="C19" s="4" t="str">
        <x:v>Construction payoff &amp; carry</x:v>
      </x:c>
      <x:c r="D19" s="24" t="str">
        <x:v>Unverified</x:v>
      </x:c>
      <x:c r="E19" s="24" t="str"/>
      <x:c r="F19" s="24" t="str">
        <x:v>Draw schedule, accrued interest, extensions and expected payoff quote.</x:v>
      </x:c>
      <x:c r="G19" s="24" t="str"/>
    </x:row>
    <x:row r="20" ht="48" customHeight="1">
      <x:c r="A20" s="4"/>
      <x:c r="B20" s="4"/>
      <x:c r="C20" s="4" t="str">
        <x:v>Permanent debt terms</x:v>
      </x:c>
      <x:c r="D20" s="24" t="str">
        <x:v>Unverified</x:v>
      </x:c>
      <x:c r="E20" s="24" t="str"/>
      <x:c r="F20" s="24" t="str">
        <x:v>LTV, DSCR, debt yield, rate, amortization, fees and cash-out restrictions.</x:v>
      </x:c>
      <x:c r="G20" s="24" t="str"/>
    </x:row>
    <x:row r="21" ht="48" customHeight="1">
      <x:c r="A21" s="4"/>
      <x:c r="B21" s="4"/>
      <x:c r="C21" s="4" t="str">
        <x:v>Exit &amp; decision targets</x:v>
      </x:c>
      <x:c r="D21" s="24" t="str">
        <x:v>Unverified</x:v>
      </x:c>
      <x:c r="E21" s="24" t="str"/>
      <x:c r="F21" s="24" t="str">
        <x:v>Holding plan, disposition costs, return hurdles and approval authority.</x:v>
      </x:c>
      <x:c r="G21" s="24" t="str"/>
    </x:row>
    <x:row r="22" ht="8" customHeight="1">
      <x:c r="A22" s="4"/>
      <x:c r="B22" s="4"/>
      <x:c r="C22" s="4"/>
      <x:c r="D22" s="4"/>
      <x:c r="E22" s="4"/>
      <x:c r="F22" s="4"/>
      <x:c r="G22" s="4"/>
    </x:row>
    <x:row r="23" ht="8" customHeight="1">
      <x:c r="A23" s="4"/>
      <x:c r="B23" s="4"/>
      <x:c r="C23" s="4"/>
      <x:c r="D23" s="4"/>
      <x:c r="E23" s="4"/>
      <x:c r="F23" s="4"/>
      <x:c r="G23" s="4"/>
    </x:row>
    <x:row r="24" ht="27" customHeight="1">
      <x:c r="A24" s="4"/>
      <x:c r="B24" s="4"/>
      <x:c r="C24" s="6" t="str">
        <x:v>Status is a human review log, not a credit approval or automated diligence conclusion. Cite the actual document and its date. Confirm who owns the next action.</x:v>
      </x:c>
      <x:c r="D24" s="6"/>
      <x:c r="E24" s="6"/>
      <x:c r="F24" s="6"/>
      <x:c r="G24" s="6"/>
    </x:row>
    <x:row r="25" ht="27" customHeight="1">
      <x:c r="A25" s="4"/>
      <x:c r="B25" s="4"/>
      <x:c r="C25" s="6"/>
      <x:c r="D25" s="6"/>
      <x:c r="E25" s="6"/>
      <x:c r="F25" s="6"/>
      <x:c r="G25" s="6"/>
    </x:row>
    <x:row r="26" ht="8" customHeight="1">
      <x:c r="A26" s="4"/>
      <x:c r="B26" s="4"/>
      <x:c r="C26" s="4"/>
      <x:c r="D26" s="4"/>
      <x:c r="E26" s="4"/>
      <x:c r="F26" s="4"/>
      <x:c r="G26" s="4"/>
    </x:row>
    <x:row r="27" ht="30" customHeight="1">
      <x:c r="A27" s="4"/>
      <x:c r="B27" s="4"/>
      <x:c r="C27" s="6" t="str">
        <x:v>A useful next step: bring one live project, its current workbook, a cost estimate and a lender term sheet to a FinData model review.</x:v>
      </x:c>
      <x:c r="D27" s="6"/>
      <x:c r="E27" s="6"/>
      <x:c r="F27" s="6"/>
      <x:c r="G27" s="6"/>
    </x:row>
  </x:sheetData>
  <x:mergeCells>
    <x:mergeCell ref="C2:G2"/>
    <x:mergeCell ref="C3:G3"/>
    <x:mergeCell ref="C7:G7"/>
    <x:mergeCell ref="C24:G25"/>
    <x:mergeCell ref="C27:G27"/>
  </x:mergeCells>
  <x:dataValidations count="12">
    <x:dataValidation type="list" sqref="D10">
      <x:formula1>"Unverified,Requested,Confirmed,Not applicable"</x:formula1>
    </x:dataValidation>
    <x:dataValidation type="list" sqref="D11">
      <x:formula1>"Unverified,Requested,Confirmed,Not applicable"</x:formula1>
    </x:dataValidation>
    <x:dataValidation type="list" sqref="D12">
      <x:formula1>"Unverified,Requested,Confirmed,Not applicable"</x:formula1>
    </x:dataValidation>
    <x:dataValidation type="list" sqref="D13">
      <x:formula1>"Unverified,Requested,Confirmed,Not applicable"</x:formula1>
    </x:dataValidation>
    <x:dataValidation type="list" sqref="D14">
      <x:formula1>"Unverified,Requested,Confirmed,Not applicable"</x:formula1>
    </x:dataValidation>
    <x:dataValidation type="list" sqref="D15">
      <x:formula1>"Unverified,Requested,Confirmed,Not applicable"</x:formula1>
    </x:dataValidation>
    <x:dataValidation type="list" sqref="D16">
      <x:formula1>"Unverified,Requested,Confirmed,Not applicable"</x:formula1>
    </x:dataValidation>
    <x:dataValidation type="list" sqref="D17">
      <x:formula1>"Unverified,Requested,Confirmed,Not applicable"</x:formula1>
    </x:dataValidation>
    <x:dataValidation type="list" sqref="D18">
      <x:formula1>"Unverified,Requested,Confirmed,Not applicable"</x:formula1>
    </x:dataValidation>
    <x:dataValidation type="list" sqref="D19">
      <x:formula1>"Unverified,Requested,Confirmed,Not applicable"</x:formula1>
    </x:dataValidation>
    <x:dataValidation type="list" sqref="D20">
      <x:formula1>"Unverified,Requested,Confirmed,Not applicable"</x:formula1>
    </x:dataValidation>
    <x:dataValidation type="list" sqref="D21">
      <x:formula1>"Unverified,Requested,Confirmed,Not applicable"</x:formula1>
    </x:dataValidation>
  </x:dataValidations>
  <x:printOptions horizontalCentered="1" headings="0" gridLines="0"/>
  <x:pageMargins left="0.35" right="0.35" top="0.3" bottom="0.3" header="0.1" footer="0.1"/>
  <x:pageSetup paperSize="1" orientation="landscape" fitToWidth="1" fitToHeight="0"/>
  <x:headerFooter>
    <x:oddFooter>&amp;LFinData Consulting&amp;C&amp;A&amp;R&amp;P / &amp;N</x:oddFooter>
  </x:headerFooter>
  <x:rowBreaks count="1" manualBreakCount="1">
    <x:brk id="15" min="0" max="16383" man="1"/>
  </x:rowBreaks>
</x:worksheet>
</file>

<file path=xl/worksheets/sheet7.xml><?xml version="1.0" encoding="utf-8"?>
<x:worksheet xmlns:x="http://schemas.openxmlformats.org/spreadsheetml/2006/main">
  <x:sheetPr>
    <x:tabColor rgb="FF1E1B4B"/>
    <x:pageSetUpPr fitToPage="1" autoPageBreaks="0"/>
  </x:sheetPr>
  <x:sheetViews>
    <x:sheetView showGridLines="0" workbookViewId="0">
      <x:pane ySplit="6" topLeftCell="A7" activePane="bottomLeft" state="frozen"/>
    </x:sheetView>
  </x:sheetViews>
  <x:sheetFormatPr defaultRowHeight="15"/>
  <x:cols>
    <x:col min="1" max="1" width="1.1100000143051147" hidden="0" customWidth="1"/>
    <x:col min="2" max="2" width="1.1100000143051147" hidden="0" customWidth="1"/>
    <x:col min="3" max="3" width="35" hidden="0" customWidth="1"/>
    <x:col min="4" max="4" width="16.110000610351562" hidden="0" customWidth="1"/>
    <x:col min="5" max="5" width="2" hidden="0" customWidth="1"/>
    <x:col min="6" max="6" width="41.66999816894531" hidden="0" customWidth="1"/>
    <x:col min="7" max="7" width="11.109999656677246" hidden="0" customWidth="1"/>
  </x:cols>
  <x:sheetData>
    <x:row r="1" ht="8" customHeight="1">
      <x:c r="A1" s="4"/>
      <x:c r="B1" s="4"/>
      <x:c r="C1" s="4"/>
      <x:c r="D1" s="4"/>
      <x:c r="E1" s="4"/>
      <x:c r="F1" s="4"/>
      <x:c r="G1" s="4"/>
    </x:row>
    <x:row r="2" ht="32" customHeight="1">
      <x:c r="A2" s="4"/>
      <x:c r="B2" s="4"/>
      <x:c r="C2" s="8" t="str">
        <x:v>Read me, methods &amp; checks</x:v>
      </x:c>
      <x:c r="D2" s="8"/>
      <x:c r="E2" s="8"/>
      <x:c r="F2" s="8"/>
      <x:c r="G2" s="8"/>
    </x:row>
    <x:row r="3" ht="30" customHeight="1">
      <x:c r="A3" s="4"/>
      <x:c r="B3" s="4"/>
      <x:c r="C3" s="6" t="str">
        <x:v>06  /  FinData Consulting  ·  Version 1.1  ·  9 September 2026  ·  findataconsulting.com</x:v>
      </x:c>
      <x:c r="D3" s="6"/>
      <x:c r="E3" s="6"/>
      <x:c r="F3" s="6"/>
      <x:c r="G3" s="6"/>
    </x:row>
    <x:row r="4" ht="10" customHeight="1">
      <x:c r="A4" s="4"/>
      <x:c r="B4" s="4"/>
      <x:c r="C4" s="4"/>
      <x:c r="D4" s="4"/>
      <x:c r="E4" s="4"/>
      <x:c r="F4" s="4"/>
      <x:c r="G4" s="4"/>
    </x:row>
    <x:row r="5" ht="9" customHeight="1">
      <x:c r="A5" s="4"/>
      <x:c r="B5" s="4"/>
      <x:c r="C5" s="7"/>
      <x:c r="D5" s="7"/>
      <x:c r="E5" s="7"/>
      <x:c r="F5" s="7"/>
      <x:c r="G5" s="7"/>
    </x:row>
    <x:row r="6" ht="9" customHeight="1">
      <x:c r="A6" s="4"/>
      <x:c r="B6" s="4"/>
      <x:c r="C6" s="4"/>
      <x:c r="D6" s="4"/>
      <x:c r="E6" s="4"/>
      <x:c r="F6" s="4"/>
      <x:c r="G6" s="4"/>
    </x:row>
    <x:row r="7" ht="25" customHeight="1">
      <x:c r="A7" s="4"/>
      <x:c r="B7" s="4"/>
      <x:c r="C7" s="11" t="str">
        <x:v>QUICK START &amp; MODEL CONVENTIONS</x:v>
      </x:c>
      <x:c r="D7" s="11"/>
      <x:c r="E7" s="11"/>
      <x:c r="F7" s="11"/>
      <x:c r="G7" s="11"/>
    </x:row>
    <x:row r="8" ht="15" customHeight="1">
      <x:c r="A8" s="4"/>
      <x:c r="B8" s="4"/>
      <x:c r="C8" s="6" t="str">
        <x:v>1. Save a project copy. Edit Inputs, including the project name near the bottom. Model controls documents the validation limits and conventions.</x:v>
      </x:c>
      <x:c r="D8" s="6"/>
      <x:c r="E8" s="6"/>
      <x:c r="F8" s="6"/>
      <x:c r="G8" s="6"/>
    </x:row>
    <x:row r="9" ht="15" customHeight="1">
      <x:c r="A9" s="4"/>
      <x:c r="B9" s="4"/>
      <x:c r="C9" s="6"/>
      <x:c r="D9" s="6"/>
      <x:c r="E9" s="6"/>
      <x:c r="F9" s="6"/>
      <x:c r="G9" s="6"/>
    </x:row>
    <x:row r="10" ht="15" customHeight="1">
      <x:c r="A10" s="4"/>
      <x:c r="B10" s="4"/>
      <x:c r="C10" s="6" t="str">
        <x:v>2. Review Development and Debt sizing together. A value cushion can coexist with a cash requirement at refinance.</x:v>
      </x:c>
      <x:c r="D10" s="6"/>
      <x:c r="E10" s="6"/>
      <x:c r="F10" s="6"/>
      <x:c r="G10" s="6"/>
    </x:row>
    <x:row r="11" ht="15" customHeight="1">
      <x:c r="A11" s="4"/>
      <x:c r="B11" s="4"/>
      <x:c r="C11" s="6"/>
      <x:c r="D11" s="6"/>
      <x:c r="E11" s="6"/>
      <x:c r="F11" s="6"/>
      <x:c r="G11" s="6"/>
    </x:row>
    <x:row r="12" ht="15" customHeight="1">
      <x:c r="A12" s="4"/>
      <x:c r="B12" s="4"/>
      <x:c r="C12" s="6" t="str">
        <x:v>3. Use Sensitivities to find where land capacity or financing changes. Record supporting evidence and open items in Diligence.</x:v>
      </x:c>
      <x:c r="D12" s="6"/>
      <x:c r="E12" s="6"/>
      <x:c r="F12" s="6"/>
      <x:c r="G12" s="6"/>
    </x:row>
    <x:row r="13" ht="15" customHeight="1">
      <x:c r="A13" s="4"/>
      <x:c r="B13" s="4"/>
      <x:c r="C13" s="6"/>
      <x:c r="D13" s="6"/>
      <x:c r="E13" s="6"/>
      <x:c r="F13" s="6"/>
      <x:c r="G13" s="6"/>
    </x:row>
    <x:row r="14" ht="15" customHeight="1">
      <x:c r="A14" s="4"/>
      <x:c r="B14" s="4"/>
      <x:c r="C14" s="6" t="str">
        <x:v>4. Print Deal brief alone: US Letter, portrait, one page. Detailed tabs use landscape, one page wide, with additional pages vertically.</x:v>
      </x:c>
      <x:c r="D14" s="6"/>
      <x:c r="E14" s="6"/>
      <x:c r="F14" s="6"/>
      <x:c r="G14" s="6"/>
    </x:row>
    <x:row r="15" ht="15" customHeight="1">
      <x:c r="A15" s="4"/>
      <x:c r="B15" s="4"/>
      <x:c r="C15" s="6"/>
      <x:c r="D15" s="6"/>
      <x:c r="E15" s="6"/>
      <x:c r="F15" s="6"/>
      <x:c r="G15" s="6"/>
    </x:row>
    <x:row r="16" ht="22" customHeight="1">
      <x:c r="A16" s="4"/>
      <x:c r="B16" s="4"/>
      <x:c r="C16" s="6" t="str">
        <x:v>NOI convention: recurring operating costs, management and replacement reserve are deducted. Debt service, income taxes, depreciation and initial TI/LC are not NOI deductions here. Match cap-rate and lender inputs to this after-reserve basis.</x:v>
      </x:c>
      <x:c r="D16" s="6"/>
      <x:c r="E16" s="6"/>
      <x:c r="F16" s="6"/>
      <x:c r="G16" s="6"/>
    </x:row>
    <x:row r="17" ht="22" customHeight="1">
      <x:c r="A17" s="4"/>
      <x:c r="B17" s="4"/>
      <x:c r="C17" s="6"/>
      <x:c r="D17" s="6"/>
      <x:c r="E17" s="6"/>
      <x:c r="F17" s="6"/>
      <x:c r="G17" s="6"/>
    </x:row>
    <x:row r="18" ht="22" customHeight="1">
      <x:c r="A18" s="4"/>
      <x:c r="B18" s="4"/>
      <x:c r="C18" s="6" t="str">
        <x:v>Return convention: yield on cost = annual underwriting NOI / total development cost. Profit on cost = (value after selling costs − total cost) / total cost. Neither is an IRR or a forecast of realized investment returns.</x:v>
      </x:c>
      <x:c r="D18" s="6"/>
      <x:c r="E18" s="6"/>
      <x:c r="F18" s="6"/>
      <x:c r="G18" s="6"/>
    </x:row>
    <x:row r="19" ht="22" customHeight="1">
      <x:c r="A19" s="4"/>
      <x:c r="B19" s="4"/>
      <x:c r="C19" s="6"/>
      <x:c r="D19" s="6"/>
      <x:c r="E19" s="6"/>
      <x:c r="F19" s="6"/>
      <x:c r="G19" s="6"/>
    </x:row>
    <x:row r="20" ht="22" customHeight="1">
      <x:c r="A20" s="4"/>
      <x:c r="B20" s="4"/>
      <x:c r="C20" s="6" t="str">
        <x:v>Land convention: solve land price after both target yield and target profit. Land closing costs vary with land price. Required rent also recalculates the initial commission burden. Negative land capacity is intentionally not floored at zero.</x:v>
      </x:c>
      <x:c r="D20" s="6"/>
      <x:c r="E20" s="6"/>
      <x:c r="F20" s="6"/>
      <x:c r="G20" s="6"/>
    </x:row>
    <x:row r="21" ht="22" customHeight="1">
      <x:c r="A21" s="4"/>
      <x:c r="B21" s="4"/>
      <x:c r="C21" s="6"/>
      <x:c r="D21" s="6"/>
      <x:c r="E21" s="6"/>
      <x:c r="F21" s="6"/>
      <x:c r="G21" s="6"/>
    </x:row>
    <x:row r="22" ht="22" customHeight="1">
      <x:c r="A22" s="4"/>
      <x:c r="B22" s="4"/>
      <x:c r="C22" s="6" t="str">
        <x:v>Debt convention: use the lowest LTV, DSCR and debt-yield loan limit. Fees reduce refinance proceeds. Extra delay carry is equity funded on a fixed payoff balance; capitalized interest requires a revised payoff and detailed draw schedule.</x:v>
      </x:c>
      <x:c r="D22" s="6"/>
      <x:c r="E22" s="6"/>
      <x:c r="F22" s="6"/>
      <x:c r="G22" s="6"/>
    </x:row>
    <x:row r="23" ht="22" customHeight="1">
      <x:c r="A23" s="4"/>
      <x:c r="B23" s="4"/>
      <x:c r="C23" s="6"/>
      <x:c r="D23" s="6"/>
      <x:c r="E23" s="6"/>
      <x:c r="F23" s="6"/>
      <x:c r="G23" s="6"/>
    </x:row>
    <x:row r="24" ht="22" customHeight="1">
      <x:c r="A24" s="4"/>
      <x:c r="B24" s="4"/>
      <x:c r="C24" s="6" t="str">
        <x:v>Scope: single-phase, for-lease retail, flex, light industrial or office. No tenant-by-tenant rent roll, monthly draws, phased absorption, rent escalations, refinance amortization schedule, equity waterfall or tax calculation.</x:v>
      </x:c>
      <x:c r="D24" s="6"/>
      <x:c r="E24" s="6"/>
      <x:c r="F24" s="6"/>
      <x:c r="G24" s="6"/>
    </x:row>
    <x:row r="25" ht="22" customHeight="1">
      <x:c r="A25" s="4"/>
      <x:c r="B25" s="4"/>
      <x:c r="C25" s="6"/>
      <x:c r="D25" s="6"/>
      <x:c r="E25" s="6"/>
      <x:c r="F25" s="6"/>
      <x:c r="G25" s="6"/>
    </x:row>
    <x:row r="26" ht="22" customHeight="1">
      <x:c r="A26" s="4"/>
      <x:c r="B26" s="4"/>
      <x:c r="C26" s="6" t="str">
        <x:v>Use this workbook for an initial screen and decision discussion. Every numeric formula operand references a visible cell. Thomas Sherrouse is the author; contact and version details are embedded in File Properties and on Model controls.</x:v>
      </x:c>
      <x:c r="D26" s="6"/>
      <x:c r="E26" s="6"/>
      <x:c r="F26" s="6"/>
      <x:c r="G26" s="6"/>
    </x:row>
    <x:row r="27" ht="22" customHeight="1">
      <x:c r="A27" s="4"/>
      <x:c r="B27" s="4"/>
      <x:c r="C27" s="6"/>
      <x:c r="D27" s="6"/>
      <x:c r="E27" s="6"/>
      <x:c r="F27" s="6"/>
      <x:c r="G27" s="6"/>
    </x:row>
    <x:row r="28" ht="8" customHeight="1">
      <x:c r="A28" s="4"/>
      <x:c r="B28" s="4"/>
      <x:c r="C28" s="4"/>
      <x:c r="D28" s="4"/>
      <x:c r="E28" s="4"/>
      <x:c r="F28" s="4"/>
      <x:c r="G28" s="4"/>
    </x:row>
    <x:row r="29" ht="25" customHeight="1">
      <x:c r="A29" s="4"/>
      <x:c r="B29" s="4"/>
      <x:c r="C29" s="11" t="str">
        <x:v>METHOD REFERENCES  /  PUBLIC SOURCES ACCESSED 9 SEPTEMBER 2026</x:v>
      </x:c>
      <x:c r="D29" s="11"/>
      <x:c r="E29" s="11"/>
      <x:c r="F29" s="11"/>
      <x:c r="G29" s="11"/>
    </x:row>
    <x:row r="30" ht="18" customHeight="1">
      <x:c r="A30" s="4"/>
      <x:c r="B30" s="4"/>
      <x:c r="C30" s="60" t="str">
        <x:v>OCC · Commercial Real Estate Lending (2022; updated references 2025)</x:v>
      </x:c>
      <x:c r="D30" s="60"/>
      <x:c r="E30" s="60"/>
      <x:c r="F30" s="60"/>
      <x:c r="G30" s="60"/>
    </x:row>
    <x:row r="31" ht="18" customHeight="1">
      <x:c r="A31" s="4"/>
      <x:c r="B31" s="4"/>
      <x:c r="C31" s="6" t="str">
        <x:v>Printed pp. 7–8, 22 and 42–43: carry, sensitivity and credit underwriting.</x:v>
      </x:c>
      <x:c r="D31" s="6"/>
      <x:c r="E31" s="6"/>
      <x:c r="F31" s="6"/>
      <x:c r="G31" s="6"/>
    </x:row>
    <x:row r="32" ht="30" customHeight="1">
      <x:c r="A32" s="4"/>
      <x:c r="B32" s="4"/>
      <x:c r="C32" s="93" t="str">
        <x:v>https://www.occ.gov/publications-and-resources/publications/comptrollers-handbook/files/commercial-real-estate-lending/pub-ch-commercial-real-estate.pdf</x:v>
      </x:c>
      <x:c r="D32" s="93"/>
      <x:c r="E32" s="93"/>
      <x:c r="F32" s="93"/>
      <x:c r="G32" s="93"/>
    </x:row>
    <x:row r="33" ht="18" customHeight="1">
      <x:c r="A33" s="4"/>
      <x:c r="B33" s="4"/>
      <x:c r="C33" s="60" t="str">
        <x:v>A.CRE · Development spread</x:v>
      </x:c>
      <x:c r="D33" s="60"/>
      <x:c r="E33" s="60"/>
      <x:c r="F33" s="60"/>
      <x:c r="G33" s="60"/>
    </x:row>
    <x:row r="34" ht="18" customHeight="1">
      <x:c r="A34" s="4"/>
      <x:c r="B34" s="4"/>
      <x:c r="C34" s="6" t="str">
        <x:v>Yield on cost and cap-rate spread; neither measure is an IRR.</x:v>
      </x:c>
      <x:c r="D34" s="6"/>
      <x:c r="E34" s="6"/>
      <x:c r="F34" s="6"/>
      <x:c r="G34" s="6"/>
    </x:row>
    <x:row r="35" ht="26" customHeight="1">
      <x:c r="A35" s="4"/>
      <x:c r="B35" s="4"/>
      <x:c r="C35" s="93" t="str">
        <x:v>https://www.adventuresincre.com/development-spread/</x:v>
      </x:c>
      <x:c r="D35" s="93"/>
      <x:c r="E35" s="93"/>
      <x:c r="F35" s="93"/>
      <x:c r="G35" s="93"/>
    </x:row>
    <x:row r="36" ht="18" customHeight="1">
      <x:c r="A36" s="4"/>
      <x:c r="B36" s="4"/>
      <x:c r="C36" s="60" t="str">
        <x:v>A.CRE · Residual land value</x:v>
      </x:c>
      <x:c r="D36" s="60"/>
      <x:c r="E36" s="60"/>
      <x:c r="F36" s="60"/>
      <x:c r="G36" s="60"/>
    </x:row>
    <x:row r="37" ht="18" customHeight="1">
      <x:c r="A37" s="4"/>
      <x:c r="B37" s="4"/>
      <x:c r="C37" s="6" t="str">
        <x:v>Residual land methodology. FinData implementation is original.</x:v>
      </x:c>
      <x:c r="D37" s="6"/>
      <x:c r="E37" s="6"/>
      <x:c r="F37" s="6"/>
      <x:c r="G37" s="6"/>
    </x:row>
    <x:row r="38" ht="26" customHeight="1">
      <x:c r="A38" s="4"/>
      <x:c r="B38" s="4"/>
      <x:c r="C38" s="93" t="str">
        <x:v>https://www.adventuresincre.com/calculating-residual-land-value-excel/</x:v>
      </x:c>
      <x:c r="D38" s="93"/>
      <x:c r="E38" s="93"/>
      <x:c r="F38" s="93"/>
      <x:c r="G38" s="93"/>
    </x:row>
    <x:row r="39" ht="18" customHeight="1">
      <x:c r="A39" s="4"/>
      <x:c r="B39" s="4"/>
      <x:c r="C39" s="60" t="str">
        <x:v>PropertyMetrics · Net operating income</x:v>
      </x:c>
      <x:c r="D39" s="60"/>
      <x:c r="E39" s="60"/>
      <x:c r="F39" s="60"/>
      <x:c r="G39" s="60"/>
    </x:row>
    <x:row r="40" ht="18" customHeight="1">
      <x:c r="A40" s="4"/>
      <x:c r="B40" s="4"/>
      <x:c r="C40" s="6" t="str">
        <x:v>Operating-income definitions; reserve treatment must be reconciled.</x:v>
      </x:c>
      <x:c r="D40" s="6"/>
      <x:c r="E40" s="6"/>
      <x:c r="F40" s="6"/>
      <x:c r="G40" s="6"/>
    </x:row>
    <x:row r="41" ht="26" customHeight="1">
      <x:c r="A41" s="4"/>
      <x:c r="B41" s="4"/>
      <x:c r="C41" s="93" t="str">
        <x:v>https://propertymetrics.com/blog/net-operating-income/</x:v>
      </x:c>
      <x:c r="D41" s="93"/>
      <x:c r="E41" s="93"/>
      <x:c r="F41" s="93"/>
      <x:c r="G41" s="93"/>
    </x:row>
    <x:row r="42" ht="8" customHeight="1">
      <x:c r="A42" s="4"/>
      <x:c r="B42" s="4"/>
      <x:c r="C42" s="4"/>
      <x:c r="D42" s="4"/>
      <x:c r="E42" s="4"/>
      <x:c r="F42" s="4"/>
      <x:c r="G42" s="4"/>
    </x:row>
    <x:row r="43" ht="25" customHeight="1">
      <x:c r="A43" s="4"/>
      <x:c r="B43" s="4"/>
      <x:c r="C43" s="11" t="str">
        <x:v>TERMINAL MODEL CHECKS  /  INFORMATION ONLY</x:v>
      </x:c>
      <x:c r="D43" s="11"/>
      <x:c r="E43" s="11"/>
      <x:c r="F43" s="11"/>
      <x:c r="G43" s="11"/>
    </x:row>
    <x:row r="44" ht="27" customHeight="1">
      <x:c r="A44" s="4"/>
      <x:c r="B44" s="4"/>
      <x:c r="C44" s="4" t="str">
        <x:v>Input cells requiring review</x:v>
      </x:c>
      <x:c r="D44" s="95" t="n">
        <x:f>COUNTIF('Inputs'!G8:G58,"Review")</x:f>
        <x:v>0</x:v>
      </x:c>
      <x:c r="E44" s="4"/>
      <x:c r="F44" s="6" t="str">
        <x:v>Outputs validate their own source inputs; this check gates no calculation.</x:v>
      </x:c>
      <x:c r="G44" s="6"/>
    </x:row>
    <x:row r="45" ht="27" customHeight="1">
      <x:c r="A45" s="4"/>
      <x:c r="B45" s="4"/>
      <x:c r="C45" s="4" t="str">
        <x:v>Land table center less base model</x:v>
      </x:c>
      <x:c r="D45" s="72" t="n">
        <x:f>IF(AND(ISNUMBER('Sensitivities'!F13),ISNUMBER('Development'!D48)),'Sensitivities'!F13-'Development'!D48,"n.a.")</x:f>
        <x:v>0</x:v>
      </x:c>
      <x:c r="E45" s="4"/>
      <x:c r="F45" s="6" t="str">
        <x:v>Should be zero with valid inputs.</x:v>
      </x:c>
      <x:c r="G45" s="6"/>
    </x:row>
    <x:row r="46" ht="27" customHeight="1">
      <x:c r="A46" s="4"/>
      <x:c r="B46" s="4"/>
      <x:c r="C46" s="4" t="str">
        <x:v>Refinance table center less base</x:v>
      </x:c>
      <x:c r="D46" s="72" t="n">
        <x:f>IF(AND(ISNUMBER('Sensitivities'!F24),ISNUMBER('Debt sizing'!D23)),'Sensitivities'!F24-'Debt sizing'!D23,"n.a.")</x:f>
        <x:v>0</x:v>
      </x:c>
      <x:c r="E46" s="4"/>
      <x:c r="F46" s="6" t="str">
        <x:v>Should be zero with valid inputs.</x:v>
      </x:c>
      <x:c r="G46" s="6"/>
    </x:row>
    <x:row r="47" ht="8" customHeight="1">
      <x:c r="A47" s="4"/>
      <x:c r="B47" s="4"/>
      <x:c r="C47" s="4"/>
      <x:c r="D47" s="4"/>
      <x:c r="E47" s="4"/>
      <x:c r="F47" s="4"/>
      <x:c r="G47" s="4"/>
    </x:row>
    <x:row r="48" ht="27" customHeight="1">
      <x:c r="A48" s="4"/>
      <x:c r="B48" s="4"/>
      <x:c r="C48" s="6" t="str">
        <x:v>FinData Consulting · Spreadsheet financial modeling, underwriting review and decision reporting. Start a project-specific discussion at findataconsulting.com/commercial-real-estate.</x:v>
      </x:c>
      <x:c r="D48" s="6"/>
      <x:c r="E48" s="6"/>
      <x:c r="F48" s="6"/>
      <x:c r="G48" s="6"/>
    </x:row>
    <x:row r="49" ht="27" customHeight="1">
      <x:c r="A49" s="4"/>
      <x:c r="B49" s="4"/>
      <x:c r="C49" s="6"/>
      <x:c r="D49" s="6"/>
      <x:c r="E49" s="6"/>
      <x:c r="F49" s="6"/>
      <x:c r="G49" s="6"/>
    </x:row>
  </x:sheetData>
  <x:mergeCells>
    <x:mergeCell ref="C2:G2"/>
    <x:mergeCell ref="C3:G3"/>
    <x:mergeCell ref="C7:G7"/>
    <x:mergeCell ref="C8:G9"/>
    <x:mergeCell ref="C10:G11"/>
    <x:mergeCell ref="C12:G13"/>
    <x:mergeCell ref="C14:G15"/>
    <x:mergeCell ref="C16:G17"/>
    <x:mergeCell ref="C18:G19"/>
    <x:mergeCell ref="C20:G21"/>
    <x:mergeCell ref="C22:G23"/>
    <x:mergeCell ref="C24:G25"/>
    <x:mergeCell ref="C26:G27"/>
    <x:mergeCell ref="C29:G29"/>
    <x:mergeCell ref="C30:G30"/>
    <x:mergeCell ref="C31:G31"/>
    <x:mergeCell ref="C32:G32"/>
    <x:mergeCell ref="C33:G33"/>
    <x:mergeCell ref="C34:G34"/>
    <x:mergeCell ref="C35:G35"/>
    <x:mergeCell ref="C36:G36"/>
    <x:mergeCell ref="C37:G37"/>
    <x:mergeCell ref="C38:G38"/>
    <x:mergeCell ref="C39:G39"/>
    <x:mergeCell ref="C40:G40"/>
    <x:mergeCell ref="C41:G41"/>
    <x:mergeCell ref="C43:G43"/>
    <x:mergeCell ref="F44:G44"/>
    <x:mergeCell ref="F45:G45"/>
    <x:mergeCell ref="F46:G46"/>
    <x:mergeCell ref="C48:G49"/>
  </x:mergeCells>
  <x:printOptions horizontalCentered="1" headings="0" gridLines="0"/>
  <x:pageMargins left="0.35" right="0.35" top="0.3" bottom="0.3" header="0.1" footer="0.1"/>
  <x:pageSetup paperSize="1" orientation="landscape" fitToWidth="1" fitToHeight="0"/>
  <x:headerFooter>
    <x:oddFooter>&amp;LFinData Consulting&amp;C&amp;A&amp;R&amp;P / &amp;N</x:oddFooter>
  </x:headerFooter>
  <x:rowBreaks count="1" manualBreakCount="1">
    <x:brk id="28" min="0" max="16383" man="1"/>
  </x:rowBreaks>
</x:worksheet>
</file>

<file path=xl/worksheets/sheet8.xml><?xml version="1.0" encoding="utf-8"?>
<x:worksheet xmlns:x="http://schemas.openxmlformats.org/spreadsheetml/2006/main">
  <x:sheetPr>
    <x:tabColor rgb="FF1E1B4B"/>
    <x:pageSetUpPr fitToPage="1" autoPageBreaks="0"/>
  </x:sheetPr>
  <x:sheetViews>
    <x:sheetView showGridLines="0" workbookViewId="0">
      <x:pane ySplit="6" topLeftCell="A7" activePane="bottomLeft" state="frozen"/>
    </x:sheetView>
  </x:sheetViews>
  <x:sheetFormatPr defaultRowHeight="15"/>
  <x:cols>
    <x:col min="1" max="1" width="1.1100000143051147" hidden="0" customWidth="1"/>
    <x:col min="2" max="2" width="1.1100000143051147" hidden="0" customWidth="1"/>
    <x:col min="3" max="3" width="31.110000610351562" hidden="0" customWidth="1"/>
    <x:col min="4" max="4" width="12.220000267028809" hidden="0" customWidth="1"/>
    <x:col min="5" max="5" width="12.220000267028809" hidden="0" customWidth="1"/>
    <x:col min="6" max="6" width="16.670000076293945" hidden="0" customWidth="1"/>
    <x:col min="7" max="7" width="40" hidden="0" customWidth="1"/>
  </x:cols>
  <x:sheetData>
    <x:row r="1" ht="8" customHeight="1">
      <x:c r="A1" s="4"/>
      <x:c r="B1" s="4"/>
      <x:c r="C1" s="4"/>
      <x:c r="D1" s="4"/>
      <x:c r="E1" s="4"/>
      <x:c r="F1" s="4"/>
      <x:c r="G1" s="4"/>
    </x:row>
    <x:row r="2" ht="32" customHeight="1">
      <x:c r="A2" s="4"/>
      <x:c r="B2" s="4"/>
      <x:c r="C2" s="8" t="str">
        <x:v>Model controls &amp; ownership</x:v>
      </x:c>
      <x:c r="D2" s="8"/>
      <x:c r="E2" s="8"/>
      <x:c r="F2" s="8"/>
      <x:c r="G2" s="8"/>
    </x:row>
    <x:row r="3" ht="30" customHeight="1">
      <x:c r="A3" s="4"/>
      <x:c r="B3" s="4"/>
      <x:c r="C3" s="6" t="str">
        <x:v>07  /  Visible conventions and validation limits. Every numeric operand in a formula references a cell.</x:v>
      </x:c>
      <x:c r="D3" s="6"/>
      <x:c r="E3" s="6"/>
      <x:c r="F3" s="6"/>
      <x:c r="G3" s="6"/>
    </x:row>
    <x:row r="4" ht="10" customHeight="1">
      <x:c r="A4" s="4"/>
      <x:c r="B4" s="4"/>
      <x:c r="C4" s="4"/>
      <x:c r="D4" s="4"/>
      <x:c r="E4" s="4"/>
      <x:c r="F4" s="4"/>
      <x:c r="G4" s="4"/>
    </x:row>
    <x:row r="5" ht="9" customHeight="1">
      <x:c r="A5" s="4"/>
      <x:c r="B5" s="4"/>
      <x:c r="C5" s="7"/>
      <x:c r="D5" s="7"/>
      <x:c r="E5" s="7"/>
      <x:c r="F5" s="7"/>
      <x:c r="G5" s="7"/>
    </x:row>
    <x:row r="6" ht="9" customHeight="1">
      <x:c r="A6" s="4"/>
      <x:c r="B6" s="4"/>
      <x:c r="C6" s="4"/>
      <x:c r="D6" s="4"/>
      <x:c r="E6" s="4"/>
      <x:c r="F6" s="4"/>
      <x:c r="G6" s="4"/>
    </x:row>
    <x:row r="7" ht="25" customHeight="1">
      <x:c r="A7" s="4"/>
      <x:c r="B7" s="4"/>
      <x:c r="C7" s="11" t="str">
        <x:v>FIXED CONVENTIONS  /  DEFINITIONS, NOT PROJECT ASSUMPTIONS</x:v>
      </x:c>
      <x:c r="D7" s="11"/>
      <x:c r="E7" s="11"/>
      <x:c r="F7" s="11"/>
      <x:c r="G7" s="11"/>
    </x:row>
    <x:row r="8" ht="27" customHeight="1">
      <x:c r="A8" s="4"/>
      <x:c r="B8" s="4"/>
      <x:c r="C8" s="4" t="str">
        <x:v>Zero reference</x:v>
      </x:c>
      <x:c r="D8" s="13" t="n">
        <x:v>0</x:v>
      </x:c>
      <x:c r="E8" s="4"/>
      <x:c r="F8" s="6" t="str">
        <x:v>Mathematical zero used for floors and denominator tests.</x:v>
      </x:c>
      <x:c r="G8" s="6"/>
    </x:row>
    <x:row r="9" ht="27" customHeight="1">
      <x:c r="A9" s="4"/>
      <x:c r="B9" s="4"/>
      <x:c r="C9" s="4" t="str">
        <x:v>Unity / full share</x:v>
      </x:c>
      <x:c r="D9" s="13" t="n">
        <x:v>1</x:v>
      </x:c>
      <x:c r="E9" s="4"/>
      <x:c r="F9" s="6" t="str">
        <x:v>Mathematical one; also the full share and unit loan principal.</x:v>
      </x:c>
      <x:c r="G9" s="6"/>
    </x:row>
    <x:row r="10" ht="27" customHeight="1">
      <x:c r="A10" s="4"/>
      <x:c r="B10" s="4"/>
      <x:c r="C10" s="4" t="str">
        <x:v>Months per year</x:v>
      </x:c>
      <x:c r="D10" s="13" t="n">
        <x:v>12</x:v>
      </x:c>
      <x:c r="E10" s="4"/>
      <x:c r="F10" s="6" t="str">
        <x:v>Monthly payment and annual interest conversion.</x:v>
      </x:c>
      <x:c r="G10" s="6"/>
    </x:row>
    <x:row r="11" ht="27" customHeight="1">
      <x:c r="A11" s="4"/>
      <x:c r="B11" s="4"/>
      <x:c r="C11" s="4" t="str">
        <x:v>Basis points per unit</x:v>
      </x:c>
      <x:c r="D11" s="15" t="n">
        <x:v>10000</x:v>
      </x:c>
      <x:c r="E11" s="4"/>
      <x:c r="F11" s="6" t="str">
        <x:v>Converts a decimal rate difference into basis points.</x:v>
      </x:c>
      <x:c r="G11" s="6"/>
    </x:row>
    <x:row r="12" ht="27" customHeight="1">
      <x:c r="A12" s="4"/>
      <x:c r="B12" s="4"/>
      <x:c r="C12" s="4" t="str">
        <x:v>Debt-limit tie tolerance (USD)</x:v>
      </x:c>
      <x:c r="D12" s="17" t="n">
        <x:v>0.01</x:v>
      </x:c>
      <x:c r="E12" s="4"/>
      <x:c r="F12" s="6" t="str">
        <x:v>Loan limits less than one cent apart are treated as tied.</x:v>
      </x:c>
      <x:c r="G12" s="6"/>
    </x:row>
    <x:row r="13" ht="27" customHeight="1">
      <x:c r="A13" s="4"/>
      <x:c r="B13" s="4"/>
      <x:c r="C13" s="4"/>
      <x:c r="D13" s="4"/>
      <x:c r="E13" s="4"/>
      <x:c r="F13" s="4"/>
      <x:c r="G13" s="4"/>
    </x:row>
    <x:row r="14" ht="25" customHeight="1">
      <x:c r="A14" s="4"/>
      <x:c r="B14" s="4"/>
      <x:c r="C14" s="11" t="str">
        <x:v>SENSITIVITY OFFSETS  /  MULTIPLES OF THE ENTERED STEP</x:v>
      </x:c>
      <x:c r="D14" s="11"/>
      <x:c r="E14" s="11"/>
      <x:c r="F14" s="11"/>
      <x:c r="G14" s="11"/>
    </x:row>
    <x:row r="15" ht="27" customHeight="1">
      <x:c r="A15" s="4"/>
      <x:c r="B15" s="4"/>
      <x:c r="C15" s="4" t="str">
        <x:v>Two below</x:v>
      </x:c>
      <x:c r="D15" s="4" t="str">
        <x:v>One below</x:v>
      </x:c>
      <x:c r="E15" s="4" t="str">
        <x:v>Base</x:v>
      </x:c>
      <x:c r="F15" s="4" t="str">
        <x:v>One above</x:v>
      </x:c>
      <x:c r="G15" s="4" t="str">
        <x:v>Two above</x:v>
      </x:c>
    </x:row>
    <x:row r="16" ht="27" customHeight="1">
      <x:c r="A16" s="4"/>
      <x:c r="B16" s="4"/>
      <x:c r="C16" s="19" t="n">
        <x:v>-2</x:v>
      </x:c>
      <x:c r="D16" s="19" t="n">
        <x:v>-1</x:v>
      </x:c>
      <x:c r="E16" s="19" t="n">
        <x:v>0</x:v>
      </x:c>
      <x:c r="F16" s="19" t="n">
        <x:v>1</x:v>
      </x:c>
      <x:c r="G16" s="19" t="n">
        <x:v>2</x:v>
      </x:c>
    </x:row>
    <x:row r="17" ht="27" customHeight="1">
      <x:c r="A17" s="4"/>
      <x:c r="B17" s="4"/>
      <x:c r="C17" s="4"/>
      <x:c r="D17" s="4"/>
      <x:c r="E17" s="4"/>
      <x:c r="F17" s="4"/>
      <x:c r="G17" s="4"/>
    </x:row>
    <x:row r="18" ht="25" customHeight="1">
      <x:c r="A18" s="4"/>
      <x:c r="B18" s="4"/>
      <x:c r="C18" s="11" t="str">
        <x:v>INPUT VALIDATION RULES  /  GOLD CELLS ARE THE DOCUMENTED LIMITS</x:v>
      </x:c>
      <x:c r="D18" s="11"/>
      <x:c r="E18" s="11"/>
      <x:c r="F18" s="11"/>
      <x:c r="G18" s="11"/>
    </x:row>
    <x:row r="19" ht="32" customHeight="1">
      <x:c r="A19" s="4"/>
      <x:c r="B19" s="4"/>
      <x:c r="C19" s="21" t="str">
        <x:v>Input on Inputs tab</x:v>
      </x:c>
      <x:c r="D19" s="21" t="str">
        <x:v>Minimum</x:v>
      </x:c>
      <x:c r="E19" s="21" t="str">
        <x:v>Maximum</x:v>
      </x:c>
      <x:c r="F19" s="21" t="str">
        <x:v>Boundary rule</x:v>
      </x:c>
      <x:c r="G19" s="21" t="str">
        <x:v>Purpose / limit basis</x:v>
      </x:c>
    </x:row>
    <x:row r="20" ht="40" customHeight="1">
      <x:c r="A20" s="4"/>
      <x:c r="B20" s="4"/>
      <x:c r="C20" s="4" t="str">
        <x:v>Net rentable area (SF) (D8)</x:v>
      </x:c>
      <x:c r="D20" s="26" t="n">
        <x:v>0</x:v>
      </x:c>
      <x:c r="E20" s="28" t="str">
        <x:v>None</x:v>
      </x:c>
      <x:c r="F20" s="22" t="str">
        <x:v>x &gt; minimum
No maximum</x:v>
      </x:c>
      <x:c r="G20" s="22" t="str">
        <x:v>Positive domain value; no arbitrary size or dollar ceiling.</x:v>
      </x:c>
    </x:row>
    <x:row r="21" ht="40" customHeight="1">
      <x:c r="A21" s="4"/>
      <x:c r="B21" s="4"/>
      <x:c r="C21" s="4" t="str">
        <x:v>Gross building area (SF) (D9)</x:v>
      </x:c>
      <x:c r="D21" s="26" t="n">
        <x:v>0</x:v>
      </x:c>
      <x:c r="E21" s="28" t="str">
        <x:v>None</x:v>
      </x:c>
      <x:c r="F21" s="22" t="str">
        <x:v>x &gt; minimum
No maximum</x:v>
      </x:c>
      <x:c r="G21" s="22" t="str">
        <x:v>Positive area; gross area must also be at least rentable area.</x:v>
      </x:c>
    </x:row>
    <x:row r="22" ht="40" customHeight="1">
      <x:c r="A22" s="4"/>
      <x:c r="B22" s="4"/>
      <x:c r="C22" s="4" t="str">
        <x:v>Site area (acres) (D10)</x:v>
      </x:c>
      <x:c r="D22" s="26" t="n">
        <x:v>0</x:v>
      </x:c>
      <x:c r="E22" s="28" t="str">
        <x:v>None</x:v>
      </x:c>
      <x:c r="F22" s="22" t="str">
        <x:v>x &gt; minimum
No maximum</x:v>
      </x:c>
      <x:c r="G22" s="22" t="str">
        <x:v>Positive domain value; no arbitrary size or dollar ceiling.</x:v>
      </x:c>
    </x:row>
    <x:row r="23" ht="40" customHeight="1">
      <x:c r="A23" s="4"/>
      <x:c r="B23" s="4"/>
      <x:c r="C23" s="4" t="str">
        <x:v>Land purchase price (D11)</x:v>
      </x:c>
      <x:c r="D23" s="26" t="n">
        <x:v>0</x:v>
      </x:c>
      <x:c r="E23" s="28" t="str">
        <x:v>None</x:v>
      </x:c>
      <x:c r="F23" s="22" t="str">
        <x:v>x &gt;= minimum
No maximum</x:v>
      </x:c>
      <x:c r="G23" s="22" t="str">
        <x:v>Nonnegative value; no arbitrary size, dollar or duration ceiling.</x:v>
      </x:c>
    </x:row>
    <x:row r="24" ht="40" customHeight="1">
      <x:c r="A24" s="4"/>
      <x:c r="B24" s="4"/>
      <x:c r="C24" s="4" t="str">
        <x:v>Land closing costs / land price (D12)</x:v>
      </x:c>
      <x:c r="D24" s="43" t="n">
        <x:v>0</x:v>
      </x:c>
      <x:c r="E24" s="45" t="str">
        <x:v>None</x:v>
      </x:c>
      <x:c r="F24" s="22" t="str">
        <x:v>x &gt;= minimum
No maximum</x:v>
      </x:c>
      <x:c r="G24" s="22" t="str">
        <x:v>Nonnegative value; no arbitrary size, dollar or duration ceiling.</x:v>
      </x:c>
    </x:row>
    <x:row r="25" ht="40" customHeight="1">
      <x:c r="A25" s="4"/>
      <x:c r="B25" s="4"/>
      <x:c r="C25" s="4" t="str">
        <x:v>Annual base rent / rentable SF (D15)</x:v>
      </x:c>
      <x:c r="D25" s="26" t="n">
        <x:v>0</x:v>
      </x:c>
      <x:c r="E25" s="28" t="str">
        <x:v>None</x:v>
      </x:c>
      <x:c r="F25" s="22" t="str">
        <x:v>x &gt;= minimum
No maximum</x:v>
      </x:c>
      <x:c r="G25" s="22" t="str">
        <x:v>Nonnegative value; no arbitrary size, dollar or duration ceiling.</x:v>
      </x:c>
    </x:row>
    <x:row r="26" ht="40" customHeight="1">
      <x:c r="A26" s="4"/>
      <x:c r="B26" s="4"/>
      <x:c r="C26" s="4" t="str">
        <x:v>Stabilized economic occupancy (D16)</x:v>
      </x:c>
      <x:c r="D26" s="43" t="n">
        <x:v>0</x:v>
      </x:c>
      <x:c r="E26" s="43" t="n">
        <x:v>1</x:v>
      </x:c>
      <x:c r="F26" s="22" t="str">
        <x:v>x &gt;= minimum
x &lt;= maximum</x:v>
      </x:c>
      <x:c r="G26" s="22" t="str">
        <x:v>Fraction of the stated base, bounded by the full share.</x:v>
      </x:c>
    </x:row>
    <x:row r="27" ht="40" customHeight="1">
      <x:c r="A27" s="4"/>
      <x:c r="B27" s="4"/>
      <x:c r="C27" s="4" t="str">
        <x:v>Reimbursements / occupied SF / year (D17)</x:v>
      </x:c>
      <x:c r="D27" s="26" t="n">
        <x:v>0</x:v>
      </x:c>
      <x:c r="E27" s="28" t="str">
        <x:v>None</x:v>
      </x:c>
      <x:c r="F27" s="22" t="str">
        <x:v>x &gt;= minimum
No maximum</x:v>
      </x:c>
      <x:c r="G27" s="22" t="str">
        <x:v>Nonnegative value; no arbitrary size, dollar or duration ceiling.</x:v>
      </x:c>
    </x:row>
    <x:row r="28" ht="40" customHeight="1">
      <x:c r="A28" s="4"/>
      <x:c r="B28" s="4"/>
      <x:c r="C28" s="4" t="str">
        <x:v>Other income / year (D18)</x:v>
      </x:c>
      <x:c r="D28" s="26" t="n">
        <x:v>0</x:v>
      </x:c>
      <x:c r="E28" s="28" t="str">
        <x:v>None</x:v>
      </x:c>
      <x:c r="F28" s="22" t="str">
        <x:v>x &gt;= minimum
No maximum</x:v>
      </x:c>
      <x:c r="G28" s="22" t="str">
        <x:v>Nonnegative value; no arbitrary size, dollar or duration ceiling.</x:v>
      </x:c>
    </x:row>
    <x:row r="29" ht="40" customHeight="1">
      <x:c r="A29" s="4"/>
      <x:c r="B29" s="4"/>
      <x:c r="C29" s="4" t="str">
        <x:v>Operating expenses / rentable SF (D19)</x:v>
      </x:c>
      <x:c r="D29" s="26" t="n">
        <x:v>0</x:v>
      </x:c>
      <x:c r="E29" s="28" t="str">
        <x:v>None</x:v>
      </x:c>
      <x:c r="F29" s="22" t="str">
        <x:v>x &gt;= minimum
No maximum</x:v>
      </x:c>
      <x:c r="G29" s="22" t="str">
        <x:v>Nonnegative value; no arbitrary size, dollar or duration ceiling.</x:v>
      </x:c>
    </x:row>
    <x:row r="30" ht="40" customHeight="1">
      <x:c r="A30" s="4"/>
      <x:c r="B30" s="4"/>
      <x:c r="C30" s="4" t="str">
        <x:v>Management / effective gross income (D20)</x:v>
      </x:c>
      <x:c r="D30" s="43" t="n">
        <x:v>0</x:v>
      </x:c>
      <x:c r="E30" s="43" t="n">
        <x:v>1</x:v>
      </x:c>
      <x:c r="F30" s="22" t="str">
        <x:v>x &gt;= minimum
x &lt; maximum</x:v>
      </x:c>
      <x:c r="G30" s="22" t="str">
        <x:v>Less than the full income/proceeds base; avoids a zero denominator.</x:v>
      </x:c>
    </x:row>
    <x:row r="31" ht="40" customHeight="1">
      <x:c r="A31" s="4"/>
      <x:c r="B31" s="4"/>
      <x:c r="C31" s="4" t="str">
        <x:v>Replacement reserve / rentable SF (D21)</x:v>
      </x:c>
      <x:c r="D31" s="26" t="n">
        <x:v>0</x:v>
      </x:c>
      <x:c r="E31" s="28" t="str">
        <x:v>None</x:v>
      </x:c>
      <x:c r="F31" s="22" t="str">
        <x:v>x &gt;= minimum
No maximum</x:v>
      </x:c>
      <x:c r="G31" s="22" t="str">
        <x:v>Nonnegative value; no arbitrary size, dollar or duration ceiling.</x:v>
      </x:c>
    </x:row>
    <x:row r="32" ht="40" customHeight="1">
      <x:c r="A32" s="4"/>
      <x:c r="B32" s="4"/>
      <x:c r="C32" s="4" t="str">
        <x:v>Shell hard cost / gross building SF (D24)</x:v>
      </x:c>
      <x:c r="D32" s="26" t="n">
        <x:v>0</x:v>
      </x:c>
      <x:c r="E32" s="28" t="str">
        <x:v>None</x:v>
      </x:c>
      <x:c r="F32" s="22" t="str">
        <x:v>x &gt;= minimum
No maximum</x:v>
      </x:c>
      <x:c r="G32" s="22" t="str">
        <x:v>Nonnegative value; no arbitrary size, dollar or duration ceiling.</x:v>
      </x:c>
    </x:row>
    <x:row r="33" ht="40" customHeight="1">
      <x:c r="A33" s="4"/>
      <x:c r="B33" s="4"/>
      <x:c r="C33" s="4" t="str">
        <x:v>Site &amp; infrastructure costs (D25)</x:v>
      </x:c>
      <x:c r="D33" s="26" t="n">
        <x:v>0</x:v>
      </x:c>
      <x:c r="E33" s="28" t="str">
        <x:v>None</x:v>
      </x:c>
      <x:c r="F33" s="22" t="str">
        <x:v>x &gt;= minimum
No maximum</x:v>
      </x:c>
      <x:c r="G33" s="22" t="str">
        <x:v>Nonnegative value; no arbitrary size, dollar or duration ceiling.</x:v>
      </x:c>
    </x:row>
    <x:row r="34" ht="40" customHeight="1">
      <x:c r="A34" s="4"/>
      <x:c r="B34" s="4"/>
      <x:c r="C34" s="4" t="str">
        <x:v>Contingency / shell + site costs (D26)</x:v>
      </x:c>
      <x:c r="D34" s="43" t="n">
        <x:v>0</x:v>
      </x:c>
      <x:c r="E34" s="45" t="str">
        <x:v>None</x:v>
      </x:c>
      <x:c r="F34" s="22" t="str">
        <x:v>x &gt;= minimum
No maximum</x:v>
      </x:c>
      <x:c r="G34" s="22" t="str">
        <x:v>Nonnegative value; no arbitrary size, dollar or duration ceiling.</x:v>
      </x:c>
    </x:row>
    <x:row r="35" ht="40" customHeight="1">
      <x:c r="A35" s="4"/>
      <x:c r="B35" s="4"/>
      <x:c r="C35" s="4" t="str">
        <x:v>Soft costs / shell + site costs (D27)</x:v>
      </x:c>
      <x:c r="D35" s="43" t="n">
        <x:v>0</x:v>
      </x:c>
      <x:c r="E35" s="45" t="str">
        <x:v>None</x:v>
      </x:c>
      <x:c r="F35" s="22" t="str">
        <x:v>x &gt;= minimum
No maximum</x:v>
      </x:c>
      <x:c r="G35" s="22" t="str">
        <x:v>Nonnegative value; no arbitrary size, dollar or duration ceiling.</x:v>
      </x:c>
    </x:row>
    <x:row r="36" ht="40" customHeight="1">
      <x:c r="A36" s="4"/>
      <x:c r="B36" s="4"/>
      <x:c r="C36" s="4" t="str">
        <x:v>Initial TI / occupied rentable SF (D28)</x:v>
      </x:c>
      <x:c r="D36" s="26" t="n">
        <x:v>0</x:v>
      </x:c>
      <x:c r="E36" s="28" t="str">
        <x:v>None</x:v>
      </x:c>
      <x:c r="F36" s="22" t="str">
        <x:v>x &gt;= minimum
No maximum</x:v>
      </x:c>
      <x:c r="G36" s="22" t="str">
        <x:v>Nonnegative value; no arbitrary size, dollar or duration ceiling.</x:v>
      </x:c>
    </x:row>
    <x:row r="37" ht="40" customHeight="1">
      <x:c r="A37" s="4"/>
      <x:c r="B37" s="4"/>
      <x:c r="C37" s="4" t="str">
        <x:v>Leasing commission / initial base rent (D29)</x:v>
      </x:c>
      <x:c r="D37" s="43" t="n">
        <x:v>0</x:v>
      </x:c>
      <x:c r="E37" s="45" t="str">
        <x:v>None</x:v>
      </x:c>
      <x:c r="F37" s="22" t="str">
        <x:v>x &gt;= minimum
No maximum</x:v>
      </x:c>
      <x:c r="G37" s="22" t="str">
        <x:v>Nonnegative value; no arbitrary size, dollar or duration ceiling.</x:v>
      </x:c>
    </x:row>
    <x:row r="38" ht="40" customHeight="1">
      <x:c r="A38" s="4"/>
      <x:c r="B38" s="4"/>
      <x:c r="C38" s="4" t="str">
        <x:v>Initial lease term (years) (D30)</x:v>
      </x:c>
      <x:c r="D38" s="26" t="n">
        <x:v>1</x:v>
      </x:c>
      <x:c r="E38" s="28" t="str">
        <x:v>None</x:v>
      </x:c>
      <x:c r="F38" s="22" t="str">
        <x:v>x &gt;= minimum
No maximum
Whole number</x:v>
      </x:c>
      <x:c r="G38" s="22" t="str">
        <x:v>Positive whole years; no arbitrary planning horizon ceiling.</x:v>
      </x:c>
    </x:row>
    <x:row r="39" ht="40" customHeight="1">
      <x:c r="A39" s="4"/>
      <x:c r="B39" s="4"/>
      <x:c r="C39" s="4" t="str">
        <x:v>Base financing &amp; interest carry budget (D31)</x:v>
      </x:c>
      <x:c r="D39" s="26" t="n">
        <x:v>0</x:v>
      </x:c>
      <x:c r="E39" s="28" t="str">
        <x:v>None</x:v>
      </x:c>
      <x:c r="F39" s="22" t="str">
        <x:v>x &gt;= minimum
No maximum</x:v>
      </x:c>
      <x:c r="G39" s="22" t="str">
        <x:v>Nonnegative value; no arbitrary size, dollar or duration ceiling.</x:v>
      </x:c>
    </x:row>
    <x:row r="40" ht="40" customHeight="1">
      <x:c r="A40" s="4"/>
      <x:c r="B40" s="4"/>
      <x:c r="C40" s="4" t="str">
        <x:v>Lease-up &amp; concession reserve (D32)</x:v>
      </x:c>
      <x:c r="D40" s="26" t="n">
        <x:v>0</x:v>
      </x:c>
      <x:c r="E40" s="28" t="str">
        <x:v>None</x:v>
      </x:c>
      <x:c r="F40" s="22" t="str">
        <x:v>x &gt;= minimum
No maximum</x:v>
      </x:c>
      <x:c r="G40" s="22" t="str">
        <x:v>Nonnegative value; no arbitrary size, dollar or duration ceiling.</x:v>
      </x:c>
    </x:row>
    <x:row r="41" ht="40" customHeight="1">
      <x:c r="A41" s="4"/>
      <x:c r="B41" s="4"/>
      <x:c r="C41" s="4" t="str">
        <x:v>Developer fee &amp; other project costs (D33)</x:v>
      </x:c>
      <x:c r="D41" s="26" t="n">
        <x:v>0</x:v>
      </x:c>
      <x:c r="E41" s="28" t="str">
        <x:v>None</x:v>
      </x:c>
      <x:c r="F41" s="22" t="str">
        <x:v>x &gt;= minimum
No maximum</x:v>
      </x:c>
      <x:c r="G41" s="22" t="str">
        <x:v>Nonnegative value; no arbitrary size, dollar or duration ceiling.</x:v>
      </x:c>
    </x:row>
    <x:row r="42" ht="40" customHeight="1">
      <x:c r="A42" s="4"/>
      <x:c r="B42" s="4"/>
      <x:c r="C42" s="4" t="str">
        <x:v>Exit / valuation cap rate (D36)</x:v>
      </x:c>
      <x:c r="D42" s="43" t="n">
        <x:v>0</x:v>
      </x:c>
      <x:c r="E42" s="45" t="str">
        <x:v>None</x:v>
      </x:c>
      <x:c r="F42" s="22" t="str">
        <x:v>x &gt; minimum
No maximum</x:v>
      </x:c>
      <x:c r="G42" s="22" t="str">
        <x:v>Positive domain value; no arbitrary size or dollar ceiling.</x:v>
      </x:c>
    </x:row>
    <x:row r="43" ht="40" customHeight="1">
      <x:c r="A43" s="4"/>
      <x:c r="B43" s="4"/>
      <x:c r="C43" s="4" t="str">
        <x:v>Disposition costs / gross value (D37)</x:v>
      </x:c>
      <x:c r="D43" s="43" t="n">
        <x:v>0</x:v>
      </x:c>
      <x:c r="E43" s="43" t="n">
        <x:v>1</x:v>
      </x:c>
      <x:c r="F43" s="22" t="str">
        <x:v>x &gt;= minimum
x &lt; maximum</x:v>
      </x:c>
      <x:c r="G43" s="22" t="str">
        <x:v>Less than the full income/proceeds base; avoids a zero denominator.</x:v>
      </x:c>
    </x:row>
    <x:row r="44" ht="40" customHeight="1">
      <x:c r="A44" s="4"/>
      <x:c r="B44" s="4"/>
      <x:c r="C44" s="4" t="str">
        <x:v>Target yield on total cost (D38)</x:v>
      </x:c>
      <x:c r="D44" s="43" t="n">
        <x:v>0</x:v>
      </x:c>
      <x:c r="E44" s="45" t="str">
        <x:v>None</x:v>
      </x:c>
      <x:c r="F44" s="22" t="str">
        <x:v>x &gt; minimum
No maximum</x:v>
      </x:c>
      <x:c r="G44" s="22" t="str">
        <x:v>Positive domain value; no arbitrary size or dollar ceiling.</x:v>
      </x:c>
    </x:row>
    <x:row r="45" ht="40" customHeight="1">
      <x:c r="A45" s="4"/>
      <x:c r="B45" s="4"/>
      <x:c r="C45" s="4" t="str">
        <x:v>Target profit on total cost (D39)</x:v>
      </x:c>
      <x:c r="D45" s="43" t="n">
        <x:v>0</x:v>
      </x:c>
      <x:c r="E45" s="45" t="str">
        <x:v>None</x:v>
      </x:c>
      <x:c r="F45" s="22" t="str">
        <x:v>x &gt;= minimum
No maximum</x:v>
      </x:c>
      <x:c r="G45" s="22" t="str">
        <x:v>Nonnegative value; no arbitrary size, dollar or duration ceiling.</x:v>
      </x:c>
    </x:row>
    <x:row r="46" ht="40" customHeight="1">
      <x:c r="A46" s="4"/>
      <x:c r="B46" s="4"/>
      <x:c r="C46" s="4" t="str">
        <x:v>Construction debt payoff (D42)</x:v>
      </x:c>
      <x:c r="D46" s="26" t="n">
        <x:v>0</x:v>
      </x:c>
      <x:c r="E46" s="28" t="str">
        <x:v>None</x:v>
      </x:c>
      <x:c r="F46" s="22" t="str">
        <x:v>x &gt;= minimum
No maximum</x:v>
      </x:c>
      <x:c r="G46" s="22" t="str">
        <x:v>Nonnegative value; no arbitrary size, dollar or duration ceiling.</x:v>
      </x:c>
    </x:row>
    <x:row r="47" ht="40" customHeight="1">
      <x:c r="A47" s="4"/>
      <x:c r="B47" s="4"/>
      <x:c r="C47" s="4" t="str">
        <x:v>Permanent loan annual interest rate (D43)</x:v>
      </x:c>
      <x:c r="D47" s="43" t="n">
        <x:v>0</x:v>
      </x:c>
      <x:c r="E47" s="45" t="str">
        <x:v>None</x:v>
      </x:c>
      <x:c r="F47" s="22" t="str">
        <x:v>x &gt;= minimum
No maximum</x:v>
      </x:c>
      <x:c r="G47" s="22" t="str">
        <x:v>Nonnegative value; no arbitrary size, dollar or duration ceiling.</x:v>
      </x:c>
    </x:row>
    <x:row r="48" ht="40" customHeight="1">
      <x:c r="A48" s="4"/>
      <x:c r="B48" s="4"/>
      <x:c r="C48" s="4" t="str">
        <x:v>Permanent loan amortization (years) (D44)</x:v>
      </x:c>
      <x:c r="D48" s="26" t="n">
        <x:v>1</x:v>
      </x:c>
      <x:c r="E48" s="28" t="str">
        <x:v>None</x:v>
      </x:c>
      <x:c r="F48" s="22" t="str">
        <x:v>x &gt;= minimum
No maximum
Whole number</x:v>
      </x:c>
      <x:c r="G48" s="22" t="str">
        <x:v>Positive whole years; no arbitrary planning horizon ceiling.</x:v>
      </x:c>
    </x:row>
    <x:row r="49" ht="40" customHeight="1">
      <x:c r="A49" s="4"/>
      <x:c r="B49" s="4"/>
      <x:c r="C49" s="4" t="str">
        <x:v>Maximum permanent LTV (D45)</x:v>
      </x:c>
      <x:c r="D49" s="43" t="n">
        <x:v>0</x:v>
      </x:c>
      <x:c r="E49" s="43" t="n">
        <x:v>1</x:v>
      </x:c>
      <x:c r="F49" s="22" t="str">
        <x:v>x &gt; minimum
x &lt;= maximum</x:v>
      </x:c>
      <x:c r="G49" s="22" t="str">
        <x:v>Fraction of the stated base, bounded by the full share.</x:v>
      </x:c>
    </x:row>
    <x:row r="50" ht="40" customHeight="1">
      <x:c r="A50" s="4"/>
      <x:c r="B50" s="4"/>
      <x:c r="C50" s="4" t="str">
        <x:v>Minimum permanent DSCR (D46)</x:v>
      </x:c>
      <x:c r="D50" s="26" t="n">
        <x:v>0</x:v>
      </x:c>
      <x:c r="E50" s="28" t="str">
        <x:v>None</x:v>
      </x:c>
      <x:c r="F50" s="22" t="str">
        <x:v>x &gt; minimum
No maximum</x:v>
      </x:c>
      <x:c r="G50" s="22" t="str">
        <x:v>Positive domain value; no arbitrary size or dollar ceiling.</x:v>
      </x:c>
    </x:row>
    <x:row r="51" ht="40" customHeight="1">
      <x:c r="A51" s="4"/>
      <x:c r="B51" s="4"/>
      <x:c r="C51" s="4" t="str">
        <x:v>Minimum permanent debt yield (D47)</x:v>
      </x:c>
      <x:c r="D51" s="43" t="n">
        <x:v>0</x:v>
      </x:c>
      <x:c r="E51" s="45" t="str">
        <x:v>None</x:v>
      </x:c>
      <x:c r="F51" s="22" t="str">
        <x:v>x &gt; minimum
No maximum</x:v>
      </x:c>
      <x:c r="G51" s="22" t="str">
        <x:v>Positive domain value; no arbitrary size or dollar ceiling.</x:v>
      </x:c>
    </x:row>
    <x:row r="52" ht="40" customHeight="1">
      <x:c r="A52" s="4"/>
      <x:c r="B52" s="4"/>
      <x:c r="C52" s="4" t="str">
        <x:v>Permanent financing fees / loan (D48)</x:v>
      </x:c>
      <x:c r="D52" s="43" t="n">
        <x:v>0</x:v>
      </x:c>
      <x:c r="E52" s="43" t="n">
        <x:v>1</x:v>
      </x:c>
      <x:c r="F52" s="22" t="str">
        <x:v>x &gt;= minimum
x &lt; maximum</x:v>
      </x:c>
      <x:c r="G52" s="22" t="str">
        <x:v>Less than the full income/proceeds base; avoids a zero denominator.</x:v>
      </x:c>
    </x:row>
    <x:row r="53" ht="40" customHeight="1">
      <x:c r="A53" s="4"/>
      <x:c r="B53" s="4"/>
      <x:c r="C53" s="4" t="str">
        <x:v>Additional delay (months) (D51)</x:v>
      </x:c>
      <x:c r="D53" s="26" t="n">
        <x:v>0</x:v>
      </x:c>
      <x:c r="E53" s="28" t="str">
        <x:v>None</x:v>
      </x:c>
      <x:c r="F53" s="22" t="str">
        <x:v>x &gt;= minimum
No maximum
Whole number</x:v>
      </x:c>
      <x:c r="G53" s="22" t="str">
        <x:v>Nonnegative value; no arbitrary size, dollar or duration ceiling.</x:v>
      </x:c>
    </x:row>
    <x:row r="54" ht="40" customHeight="1">
      <x:c r="A54" s="4"/>
      <x:c r="B54" s="4"/>
      <x:c r="C54" s="4" t="str">
        <x:v>Construction annual interest rate (D52)</x:v>
      </x:c>
      <x:c r="D54" s="43" t="n">
        <x:v>0</x:v>
      </x:c>
      <x:c r="E54" s="45" t="str">
        <x:v>None</x:v>
      </x:c>
      <x:c r="F54" s="22" t="str">
        <x:v>x &gt;= minimum
No maximum</x:v>
      </x:c>
      <x:c r="G54" s="22" t="str">
        <x:v>Nonnegative value; no arbitrary size, dollar or duration ceiling.</x:v>
      </x:c>
    </x:row>
    <x:row r="55" ht="40" customHeight="1">
      <x:c r="A55" s="4"/>
      <x:c r="B55" s="4"/>
      <x:c r="C55" s="4" t="str">
        <x:v>Other additional carry / month (D53)</x:v>
      </x:c>
      <x:c r="D55" s="26" t="n">
        <x:v>0</x:v>
      </x:c>
      <x:c r="E55" s="28" t="str">
        <x:v>None</x:v>
      </x:c>
      <x:c r="F55" s="22" t="str">
        <x:v>x &gt;= minimum
No maximum</x:v>
      </x:c>
      <x:c r="G55" s="22" t="str">
        <x:v>Nonnegative value; no arbitrary size, dollar or duration ceiling.</x:v>
      </x:c>
    </x:row>
    <x:row r="56" ht="40" customHeight="1">
      <x:c r="A56" s="4"/>
      <x:c r="B56" s="4"/>
      <x:c r="C56" s="4" t="str">
        <x:v>Rent sensitivity increment / SF (D56)</x:v>
      </x:c>
      <x:c r="D56" s="26" t="n">
        <x:v>0</x:v>
      </x:c>
      <x:c r="E56" s="28" t="str">
        <x:v>None</x:v>
      </x:c>
      <x:c r="F56" s="22" t="str">
        <x:v>x &gt; minimum
No maximum</x:v>
      </x:c>
      <x:c r="G56" s="22" t="str">
        <x:v>Positive domain value; no arbitrary size or dollar ceiling.</x:v>
      </x:c>
    </x:row>
    <x:row r="57" ht="40" customHeight="1">
      <x:c r="A57" s="4"/>
      <x:c r="B57" s="4"/>
      <x:c r="C57" s="4" t="str">
        <x:v>Cap-rate sensitivity increment (D57)</x:v>
      </x:c>
      <x:c r="D57" s="43" t="n">
        <x:v>0</x:v>
      </x:c>
      <x:c r="E57" s="45" t="str">
        <x:v>None</x:v>
      </x:c>
      <x:c r="F57" s="22" t="str">
        <x:v>x &gt; minimum
No maximum</x:v>
      </x:c>
      <x:c r="G57" s="22" t="str">
        <x:v>Positive domain value; no arbitrary size or dollar ceiling.</x:v>
      </x:c>
    </x:row>
    <x:row r="58" ht="40" customHeight="1">
      <x:c r="A58" s="4"/>
      <x:c r="B58" s="4"/>
      <x:c r="C58" s="4" t="str">
        <x:v>Interest-rate sensitivity increment (D58)</x:v>
      </x:c>
      <x:c r="D58" s="43" t="n">
        <x:v>0</x:v>
      </x:c>
      <x:c r="E58" s="45" t="str">
        <x:v>None</x:v>
      </x:c>
      <x:c r="F58" s="22" t="str">
        <x:v>x &gt; minimum
No maximum</x:v>
      </x:c>
      <x:c r="G58" s="22" t="str">
        <x:v>Positive domain value; no arbitrary size or dollar ceiling.</x:v>
      </x:c>
    </x:row>
    <x:row r="59" ht="27" customHeight="1">
      <x:c r="A59" s="4"/>
      <x:c r="B59" s="4"/>
      <x:c r="C59" s="4"/>
      <x:c r="D59" s="4"/>
      <x:c r="E59" s="4"/>
      <x:c r="F59" s="4"/>
      <x:c r="G59" s="4"/>
    </x:row>
    <x:row r="60" ht="25" customHeight="1">
      <x:c r="A60" s="4"/>
      <x:c r="B60" s="4"/>
      <x:c r="C60" s="11" t="str">
        <x:v>AUTHORSHIP &amp; VERSION</x:v>
      </x:c>
      <x:c r="D60" s="11"/>
      <x:c r="E60" s="11"/>
      <x:c r="F60" s="11"/>
      <x:c r="G60" s="11"/>
    </x:row>
    <x:row r="61" ht="27" customHeight="1">
      <x:c r="A61" s="4"/>
      <x:c r="B61" s="4"/>
      <x:c r="C61" s="4" t="str">
        <x:v>Author</x:v>
      </x:c>
      <x:c r="D61" s="60" t="str">
        <x:v>Thomas Sherrouse</x:v>
      </x:c>
      <x:c r="E61" s="60"/>
      <x:c r="F61" s="60"/>
      <x:c r="G61" s="60"/>
    </x:row>
    <x:row r="62" ht="27" customHeight="1">
      <x:c r="A62" s="4"/>
      <x:c r="B62" s="4"/>
      <x:c r="C62" s="4" t="str">
        <x:v>Author email</x:v>
      </x:c>
      <x:c r="D62" s="60" t="str">
        <x:v>Thomas@FinDataConsulting.com</x:v>
      </x:c>
      <x:c r="E62" s="60"/>
      <x:c r="F62" s="60"/>
      <x:c r="G62" s="60"/>
    </x:row>
    <x:row r="63" ht="27" customHeight="1">
      <x:c r="A63" s="4"/>
      <x:c r="B63" s="4"/>
      <x:c r="C63" s="4" t="str">
        <x:v>Company</x:v>
      </x:c>
      <x:c r="D63" s="60" t="str">
        <x:v>FinData Consulting</x:v>
      </x:c>
      <x:c r="E63" s="60"/>
      <x:c r="F63" s="60"/>
      <x:c r="G63" s="60"/>
    </x:row>
    <x:row r="64" ht="27" customHeight="1">
      <x:c r="A64" s="4"/>
      <x:c r="B64" s="4"/>
      <x:c r="C64" s="4" t="str">
        <x:v>Template / version</x:v>
      </x:c>
      <x:c r="D64" s="60" t="str">
        <x:v>FD-CRE-001 · v1.1</x:v>
      </x:c>
      <x:c r="E64" s="60"/>
      <x:c r="F64" s="60"/>
      <x:c r="G64" s="60"/>
    </x:row>
    <x:row r="65" ht="27" customHeight="1">
      <x:c r="A65" s="4"/>
      <x:c r="B65" s="4"/>
      <x:c r="C65" s="4"/>
      <x:c r="D65" s="4"/>
      <x:c r="E65" s="4"/>
      <x:c r="F65" s="4"/>
      <x:c r="G65" s="4"/>
    </x:row>
    <x:row r="66" ht="27" customHeight="1">
      <x:c r="A66" s="4"/>
      <x:c r="B66" s="4"/>
      <x:c r="C66" s="6" t="str">
        <x:v>Every numeric operand references an input, a validation limit or a fixed convention above. Names refer to visible cells. No numeric constants are concealed in names or formulas.</x:v>
      </x:c>
      <x:c r="D66" s="6"/>
      <x:c r="E66" s="6"/>
      <x:c r="F66" s="6"/>
      <x:c r="G66" s="6"/>
    </x:row>
    <x:row r="67" ht="27" customHeight="1">
      <x:c r="A67" s="4"/>
      <x:c r="B67" s="4"/>
      <x:c r="C67" s="6"/>
      <x:c r="D67" s="6"/>
      <x:c r="E67" s="6"/>
      <x:c r="F67" s="6"/>
      <x:c r="G67" s="6"/>
    </x:row>
    <x:row r="68" ht="27" customHeight="1">
      <x:c r="A68" s="4"/>
      <x:c r="B68" s="4"/>
      <x:c r="C68" s="4"/>
      <x:c r="D68" s="4"/>
      <x:c r="E68" s="4"/>
      <x:c r="F68" s="4"/>
      <x:c r="G68" s="4"/>
    </x:row>
    <x:row r="69" ht="27" customHeight="1">
      <x:c r="A69" s="4"/>
      <x:c r="B69" s="4"/>
      <x:c r="C69" s="6" t="str">
        <x:v>Version 1.1: document properties and ownership added; arbitrary size/dollar ceilings removed; all formula constants and input validation limits moved to visible references. Project economics and the decision-brief layout are unchanged.</x:v>
      </x:c>
      <x:c r="D69" s="6"/>
      <x:c r="E69" s="6"/>
      <x:c r="F69" s="6"/>
      <x:c r="G69" s="6"/>
    </x:row>
    <x:row r="70" ht="27" customHeight="1">
      <x:c r="A70" s="4"/>
      <x:c r="B70" s="4"/>
      <x:c r="C70" s="6"/>
      <x:c r="D70" s="6"/>
      <x:c r="E70" s="6"/>
      <x:c r="F70" s="6"/>
      <x:c r="G70" s="6"/>
    </x:row>
  </x:sheetData>
  <x:mergeCells>
    <x:mergeCell ref="C2:G2"/>
    <x:mergeCell ref="C3:G3"/>
    <x:mergeCell ref="C7:G7"/>
    <x:mergeCell ref="F8:G8"/>
    <x:mergeCell ref="F9:G9"/>
    <x:mergeCell ref="F10:G10"/>
    <x:mergeCell ref="F11:G11"/>
    <x:mergeCell ref="F12:G12"/>
    <x:mergeCell ref="C14:G14"/>
    <x:mergeCell ref="C18:G18"/>
    <x:mergeCell ref="C60:G60"/>
    <x:mergeCell ref="D61:G61"/>
    <x:mergeCell ref="D62:G62"/>
    <x:mergeCell ref="D63:G63"/>
    <x:mergeCell ref="D64:G64"/>
    <x:mergeCell ref="C66:G67"/>
    <x:mergeCell ref="C69:G70"/>
  </x:mergeCells>
  <x:printOptions horizontalCentered="1" headings="0" gridLines="0"/>
  <x:pageMargins left="0.35" right="0.35" top="0.3" bottom="0.3" header="0.1" footer="0.1"/>
  <x:pageSetup paperSize="1" orientation="landscape" fitToWidth="1" fitToHeight="0"/>
  <x:headerFooter>
    <x:oddFooter>&amp;LFinData Consulting&amp;C&amp;A&amp;R&amp;P / &amp;N</x:oddFooter>
  </x:headerFooter>
  <x:rowBreaks count="5" manualBreakCount="5">
    <x:brk id="17" min="0" max="16383" man="1"/>
    <x:brk id="28" min="0" max="16383" man="1"/>
    <x:brk id="39" min="0" max="16383" man="1"/>
    <x:brk id="50" min="0" max="16383" man="1"/>
    <x:brk id="58" min="0" max="16383" man="1"/>
  </x:rowBreaks>
</x:worksheet>
</file>

<file path=docProps/app.xml><?xml version="1.0" encoding="utf-8"?>
<Properties xmlns="http://schemas.openxmlformats.org/officeDocument/2006/extended-properties">
  <Company>FinData Consulting</Company>
  <Template>FD-CRE-001</Template>
</Properties>
</file>

<file path=docProps/core.xml><?xml version="1.0" encoding="utf-8"?>
<cp:coreProperties xmlns:cp="http://schemas.openxmlformats.org/package/2006/metadata/core-properties" xmlns:dc="http://purl.org/dc/elements/1.1/" xmlns:dcterms="http://purl.org/dc/terms/" xmlns:xsi="http://www.w3.org/2001/XMLSchema-instance">
  <dc:creator>Thomas Sherrouse</dc:creator>
  <cp:lastModifiedBy>Thomas Sherrouse</cp:lastModifiedBy>
  <dc:title>Commercial Development Feasibility &amp; Debt Sizing Model</dc:title>
  <dc:subject>Development feasibility, residual land capacity, required rent and permanent financing</dc:subject>
  <dc:description>Original FinData Excel template for a single-phase, for-lease commercial development screen. Includes a printable decision brief, referenced model controls, editable project assumptions, development costs and NOI, land capacity, required rent, permanent debt sizing, refinance cash requirements, sensitivities and an evidence log. Starting assumptions are illustrative.</dc:description>
  <dc:language>en-US</dc:language>
  <cp:category>Commercial Real Estate / Financial Modeling</cp:category>
  <cp:keywords>FinData Consulting; commercial real estate; development feasibility; financial modeling; residual land value; debt sizing; DSCR; debt yield; refinance; sensitivity analysis</cp:keywords>
  <cp:version>1.1</cp:version>
  <cp:revision>2</cp:revision>
  <cp:contentStatus>Reusable template with illustrative assumptions</cp:contentStatus>
  <dcterms:created xsi:type="dcterms:W3CDTF">2026-09-09T00:00:00Z</dcterms:created>
  <dcterms:modified xsi:type="dcterms:W3CDTF">2026-09-09T13:59:24Z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thor Email">
    <vt:lpwstr>Thomas@FinDataConsulting.com</vt:lpwstr>
  </property>
  <property fmtid="{D5CDD505-2E9C-101B-9397-08002B2CF9AE}" pid="3" name="Publisher">
    <vt:lpwstr>FinData Consulting</vt:lpwstr>
  </property>
  <property fmtid="{D5CDD505-2E9C-101B-9397-08002B2CF9AE}" pid="4" name="Website">
    <vt:lpwstr>https://www.findataconsulting.com</vt:lpwstr>
  </property>
  <property fmtid="{D5CDD505-2E9C-101B-9397-08002B2CF9AE}" pid="5" name="Template ID">
    <vt:lpwstr>FD-CRE-001</vt:lpwstr>
  </property>
  <property fmtid="{D5CDD505-2E9C-101B-9397-08002B2CF9AE}" pid="6" name="Model Version">
    <vt:lpwstr>1.1</vt:lpwstr>
  </property>
  <property fmtid="{D5CDD505-2E9C-101B-9397-08002B2CF9AE}" pid="7" name="Release Date">
    <vt:lpwstr>2026-09-09</vt:lpwstr>
  </property>
  <property fmtid="{D5CDD505-2E9C-101B-9397-08002B2CF9AE}" pid="8" name="Currency">
    <vt:lpwstr>USD</vt:lpwstr>
  </property>
  <property fmtid="{D5CDD505-2E9C-101B-9397-08002B2CF9AE}" pid="9" name="Resource URL">
    <vt:lpwstr>https://www.findataconsulting.com/resources/commercial-development-feasibility-model</vt:lpwstr>
  </property>
  <property fmtid="{D5CDD505-2E9C-101B-9397-08002B2CF9AE}" pid="10" name="Formula Standard">
    <vt:lpwstr>Numeric values are stored in visible inputs, assumptions or documented convention cells. Formulas reference those cells. Any exception requires a specific documented rationale and Thomas Sherrouse's approval.</vt:lpwstr>
  </property>
</Properties>
</file>